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41a685554e3a070b/Documents/Businesses/Applications/Financial Independence Calculator/Excel Version/For Publication/"/>
    </mc:Choice>
  </mc:AlternateContent>
  <xr:revisionPtr revIDLastSave="3162" documentId="11_1DF5D125B1E81BA3983D545863178357A1E2C33B" xr6:coauthVersionLast="47" xr6:coauthVersionMax="47" xr10:uidLastSave="{676B58DE-1321-4DEF-8293-E3A324ADC43F}"/>
  <bookViews>
    <workbookView xWindow="-28920" yWindow="-120" windowWidth="29040" windowHeight="15720" xr2:uid="{00000000-000D-0000-FFFF-FFFF00000000}"/>
  </bookViews>
  <sheets>
    <sheet name="📋 Instructions" sheetId="1" r:id="rId1"/>
    <sheet name="💳 Debt Input" sheetId="2" r:id="rId2"/>
    <sheet name="❄️ Snowball Payoff" sheetId="3" r:id="rId3"/>
    <sheet name="🌊 Avalanche Payoff" sheetId="4" r:id="rId4"/>
    <sheet name="📊 Comparison" sheetId="5" r:id="rId5"/>
    <sheet name="Snowball WhatIf Calc" sheetId="9" state="hidden" r:id="rId6"/>
    <sheet name="Avalanche WhatIf Calc" sheetId="8" state="hidden" r:id="rId7"/>
  </sheets>
  <definedNames>
    <definedName name="_xlnm.Print_Area" localSheetId="2">'❄️ Snowball Payoff'!$A$1:$H$395</definedName>
    <definedName name="_xlnm.Print_Area" localSheetId="6">'Avalanche WhatIf Calc'!$A$1:$H$8</definedName>
    <definedName name="_xlnm.Print_Area" localSheetId="5">'Snowball WhatIf Calc'!$A$1:$H$395</definedName>
    <definedName name="_xlnm.Print_Area" localSheetId="3">'🌊 Avalanche Payoff'!$A$1:$H$8</definedName>
    <definedName name="_xlnm.Print_Area" localSheetId="1">'💳 Debt Input'!$A$1:$G$12</definedName>
    <definedName name="_xlnm.Print_Area" localSheetId="4">'📊 Comparison'!$A$1:$L$83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4" l="1"/>
  <c r="D5" i="3"/>
  <c r="C4" i="3"/>
  <c r="D3" i="9"/>
  <c r="B11" i="9" a="1"/>
  <c r="C13" i="9" s="1"/>
  <c r="P395" i="4"/>
  <c r="P396" i="4"/>
  <c r="P397" i="4"/>
  <c r="P398" i="4"/>
  <c r="P399" i="4"/>
  <c r="P400" i="4"/>
  <c r="P401" i="4"/>
  <c r="P402" i="4"/>
  <c r="P403" i="4"/>
  <c r="D3" i="8"/>
  <c r="P403" i="8"/>
  <c r="P402" i="8"/>
  <c r="P401" i="8"/>
  <c r="P400" i="8"/>
  <c r="P399" i="8"/>
  <c r="P398" i="8"/>
  <c r="P397" i="8"/>
  <c r="P396" i="8"/>
  <c r="P395" i="8"/>
  <c r="O395" i="8"/>
  <c r="O396" i="8" s="1"/>
  <c r="O397" i="8" s="1"/>
  <c r="O398" i="8" s="1"/>
  <c r="O399" i="8" s="1"/>
  <c r="O400" i="8" s="1"/>
  <c r="O401" i="8" s="1"/>
  <c r="O402" i="8" s="1"/>
  <c r="O403" i="8" s="1"/>
  <c r="B394" i="8"/>
  <c r="B393" i="8"/>
  <c r="B392" i="8"/>
  <c r="B391" i="8"/>
  <c r="B390" i="8"/>
  <c r="O389" i="8"/>
  <c r="O390" i="8" s="1"/>
  <c r="O391" i="8" s="1"/>
  <c r="O392" i="8" s="1"/>
  <c r="O393" i="8" s="1"/>
  <c r="O394" i="8" s="1"/>
  <c r="B389" i="8"/>
  <c r="B388" i="8"/>
  <c r="B387" i="8"/>
  <c r="B386" i="8"/>
  <c r="B385" i="8"/>
  <c r="B384" i="8"/>
  <c r="O383" i="8"/>
  <c r="O384" i="8" s="1"/>
  <c r="O385" i="8" s="1"/>
  <c r="O386" i="8" s="1"/>
  <c r="O387" i="8" s="1"/>
  <c r="O388" i="8" s="1"/>
  <c r="B383" i="8"/>
  <c r="B382" i="8"/>
  <c r="B381" i="8"/>
  <c r="B380" i="8"/>
  <c r="B379" i="8"/>
  <c r="B378" i="8"/>
  <c r="O377" i="8"/>
  <c r="O378" i="8" s="1"/>
  <c r="O379" i="8" s="1"/>
  <c r="O380" i="8" s="1"/>
  <c r="O381" i="8" s="1"/>
  <c r="O382" i="8" s="1"/>
  <c r="B377" i="8"/>
  <c r="B376" i="8"/>
  <c r="B375" i="8"/>
  <c r="B374" i="8"/>
  <c r="B373" i="8"/>
  <c r="B372" i="8"/>
  <c r="O371" i="8"/>
  <c r="O372" i="8" s="1"/>
  <c r="O373" i="8" s="1"/>
  <c r="O374" i="8" s="1"/>
  <c r="O375" i="8" s="1"/>
  <c r="O376" i="8" s="1"/>
  <c r="B371" i="8"/>
  <c r="B370" i="8"/>
  <c r="B369" i="8"/>
  <c r="B368" i="8"/>
  <c r="B367" i="8"/>
  <c r="B366" i="8"/>
  <c r="O365" i="8"/>
  <c r="O366" i="8" s="1"/>
  <c r="O367" i="8" s="1"/>
  <c r="O368" i="8" s="1"/>
  <c r="O369" i="8" s="1"/>
  <c r="O370" i="8" s="1"/>
  <c r="B365" i="8"/>
  <c r="B364" i="8"/>
  <c r="B363" i="8"/>
  <c r="B362" i="8"/>
  <c r="B361" i="8"/>
  <c r="B360" i="8"/>
  <c r="O359" i="8"/>
  <c r="O360" i="8" s="1"/>
  <c r="O361" i="8" s="1"/>
  <c r="O362" i="8" s="1"/>
  <c r="O363" i="8" s="1"/>
  <c r="O364" i="8" s="1"/>
  <c r="B359" i="8"/>
  <c r="B358" i="8"/>
  <c r="B357" i="8"/>
  <c r="B356" i="8"/>
  <c r="B355" i="8"/>
  <c r="B354" i="8"/>
  <c r="O353" i="8"/>
  <c r="O354" i="8" s="1"/>
  <c r="O355" i="8" s="1"/>
  <c r="O356" i="8" s="1"/>
  <c r="O357" i="8" s="1"/>
  <c r="O358" i="8" s="1"/>
  <c r="B353" i="8"/>
  <c r="B352" i="8"/>
  <c r="B351" i="8"/>
  <c r="B350" i="8"/>
  <c r="B349" i="8"/>
  <c r="B348" i="8"/>
  <c r="O347" i="8"/>
  <c r="O348" i="8" s="1"/>
  <c r="O349" i="8" s="1"/>
  <c r="O350" i="8" s="1"/>
  <c r="O351" i="8" s="1"/>
  <c r="O352" i="8" s="1"/>
  <c r="B347" i="8"/>
  <c r="B346" i="8"/>
  <c r="B345" i="8"/>
  <c r="B344" i="8"/>
  <c r="B343" i="8"/>
  <c r="B342" i="8"/>
  <c r="O341" i="8"/>
  <c r="O342" i="8" s="1"/>
  <c r="O343" i="8" s="1"/>
  <c r="O344" i="8" s="1"/>
  <c r="O345" i="8" s="1"/>
  <c r="O346" i="8" s="1"/>
  <c r="B341" i="8"/>
  <c r="B340" i="8"/>
  <c r="B339" i="8"/>
  <c r="B338" i="8"/>
  <c r="B337" i="8"/>
  <c r="B336" i="8"/>
  <c r="O335" i="8"/>
  <c r="O336" i="8" s="1"/>
  <c r="O337" i="8" s="1"/>
  <c r="O338" i="8" s="1"/>
  <c r="O339" i="8" s="1"/>
  <c r="O340" i="8" s="1"/>
  <c r="B335" i="8"/>
  <c r="B334" i="8"/>
  <c r="B333" i="8"/>
  <c r="B332" i="8"/>
  <c r="B331" i="8"/>
  <c r="B330" i="8"/>
  <c r="O329" i="8"/>
  <c r="O330" i="8" s="1"/>
  <c r="O331" i="8" s="1"/>
  <c r="O332" i="8" s="1"/>
  <c r="O333" i="8" s="1"/>
  <c r="O334" i="8" s="1"/>
  <c r="B329" i="8"/>
  <c r="B328" i="8"/>
  <c r="B327" i="8"/>
  <c r="B326" i="8"/>
  <c r="B325" i="8"/>
  <c r="B324" i="8"/>
  <c r="O323" i="8"/>
  <c r="O324" i="8" s="1"/>
  <c r="O325" i="8" s="1"/>
  <c r="O326" i="8" s="1"/>
  <c r="O327" i="8" s="1"/>
  <c r="O328" i="8" s="1"/>
  <c r="B323" i="8"/>
  <c r="B322" i="8"/>
  <c r="B321" i="8"/>
  <c r="B320" i="8"/>
  <c r="B319" i="8"/>
  <c r="B318" i="8"/>
  <c r="O317" i="8"/>
  <c r="O318" i="8" s="1"/>
  <c r="O319" i="8" s="1"/>
  <c r="O320" i="8" s="1"/>
  <c r="O321" i="8" s="1"/>
  <c r="O322" i="8" s="1"/>
  <c r="B317" i="8"/>
  <c r="B316" i="8"/>
  <c r="B315" i="8"/>
  <c r="B314" i="8"/>
  <c r="B313" i="8"/>
  <c r="B312" i="8"/>
  <c r="O311" i="8"/>
  <c r="O312" i="8" s="1"/>
  <c r="O313" i="8" s="1"/>
  <c r="O314" i="8" s="1"/>
  <c r="O315" i="8" s="1"/>
  <c r="O316" i="8" s="1"/>
  <c r="B311" i="8"/>
  <c r="B310" i="8"/>
  <c r="B309" i="8"/>
  <c r="B308" i="8"/>
  <c r="B307" i="8"/>
  <c r="B306" i="8"/>
  <c r="O305" i="8"/>
  <c r="O306" i="8" s="1"/>
  <c r="O307" i="8" s="1"/>
  <c r="O308" i="8" s="1"/>
  <c r="O309" i="8" s="1"/>
  <c r="O310" i="8" s="1"/>
  <c r="B305" i="8"/>
  <c r="B304" i="8"/>
  <c r="B303" i="8"/>
  <c r="B302" i="8"/>
  <c r="B301" i="8"/>
  <c r="B300" i="8"/>
  <c r="O299" i="8"/>
  <c r="O300" i="8" s="1"/>
  <c r="O301" i="8" s="1"/>
  <c r="O302" i="8" s="1"/>
  <c r="O303" i="8" s="1"/>
  <c r="O304" i="8" s="1"/>
  <c r="B299" i="8"/>
  <c r="B298" i="8"/>
  <c r="B297" i="8"/>
  <c r="B296" i="8"/>
  <c r="B295" i="8"/>
  <c r="B294" i="8"/>
  <c r="O293" i="8"/>
  <c r="O294" i="8" s="1"/>
  <c r="O295" i="8" s="1"/>
  <c r="O296" i="8" s="1"/>
  <c r="O297" i="8" s="1"/>
  <c r="O298" i="8" s="1"/>
  <c r="B293" i="8"/>
  <c r="B292" i="8"/>
  <c r="B291" i="8"/>
  <c r="B290" i="8"/>
  <c r="B289" i="8"/>
  <c r="B288" i="8"/>
  <c r="O287" i="8"/>
  <c r="O288" i="8" s="1"/>
  <c r="O289" i="8" s="1"/>
  <c r="O290" i="8" s="1"/>
  <c r="O291" i="8" s="1"/>
  <c r="O292" i="8" s="1"/>
  <c r="B287" i="8"/>
  <c r="B286" i="8"/>
  <c r="B285" i="8"/>
  <c r="B284" i="8"/>
  <c r="B283" i="8"/>
  <c r="B282" i="8"/>
  <c r="O281" i="8"/>
  <c r="O282" i="8" s="1"/>
  <c r="O283" i="8" s="1"/>
  <c r="O284" i="8" s="1"/>
  <c r="O285" i="8" s="1"/>
  <c r="O286" i="8" s="1"/>
  <c r="B281" i="8"/>
  <c r="B280" i="8"/>
  <c r="B279" i="8"/>
  <c r="B278" i="8"/>
  <c r="B277" i="8"/>
  <c r="B276" i="8"/>
  <c r="O275" i="8"/>
  <c r="O276" i="8" s="1"/>
  <c r="O277" i="8" s="1"/>
  <c r="O278" i="8" s="1"/>
  <c r="O279" i="8" s="1"/>
  <c r="O280" i="8" s="1"/>
  <c r="B275" i="8"/>
  <c r="B274" i="8"/>
  <c r="B273" i="8"/>
  <c r="B272" i="8"/>
  <c r="B271" i="8"/>
  <c r="B270" i="8"/>
  <c r="O269" i="8"/>
  <c r="O270" i="8" s="1"/>
  <c r="O271" i="8" s="1"/>
  <c r="O272" i="8" s="1"/>
  <c r="O273" i="8" s="1"/>
  <c r="O274" i="8" s="1"/>
  <c r="B269" i="8"/>
  <c r="B268" i="8"/>
  <c r="B267" i="8"/>
  <c r="B266" i="8"/>
  <c r="B265" i="8"/>
  <c r="B264" i="8"/>
  <c r="O263" i="8"/>
  <c r="O264" i="8" s="1"/>
  <c r="O265" i="8" s="1"/>
  <c r="O266" i="8" s="1"/>
  <c r="O267" i="8" s="1"/>
  <c r="O268" i="8" s="1"/>
  <c r="B263" i="8"/>
  <c r="B262" i="8"/>
  <c r="B261" i="8"/>
  <c r="B260" i="8"/>
  <c r="B259" i="8"/>
  <c r="B258" i="8"/>
  <c r="O257" i="8"/>
  <c r="O258" i="8" s="1"/>
  <c r="O259" i="8" s="1"/>
  <c r="O260" i="8" s="1"/>
  <c r="O261" i="8" s="1"/>
  <c r="O262" i="8" s="1"/>
  <c r="B257" i="8"/>
  <c r="B256" i="8"/>
  <c r="B255" i="8"/>
  <c r="B254" i="8"/>
  <c r="B253" i="8"/>
  <c r="B252" i="8"/>
  <c r="O251" i="8"/>
  <c r="O252" i="8" s="1"/>
  <c r="O253" i="8" s="1"/>
  <c r="O254" i="8" s="1"/>
  <c r="O255" i="8" s="1"/>
  <c r="O256" i="8" s="1"/>
  <c r="B251" i="8"/>
  <c r="B250" i="8"/>
  <c r="B249" i="8"/>
  <c r="B248" i="8"/>
  <c r="B247" i="8"/>
  <c r="B246" i="8"/>
  <c r="O245" i="8"/>
  <c r="O246" i="8" s="1"/>
  <c r="O247" i="8" s="1"/>
  <c r="O248" i="8" s="1"/>
  <c r="O249" i="8" s="1"/>
  <c r="O250" i="8" s="1"/>
  <c r="B245" i="8"/>
  <c r="B244" i="8"/>
  <c r="B243" i="8"/>
  <c r="B242" i="8"/>
  <c r="B241" i="8"/>
  <c r="B240" i="8"/>
  <c r="O239" i="8"/>
  <c r="O240" i="8" s="1"/>
  <c r="O241" i="8" s="1"/>
  <c r="O242" i="8" s="1"/>
  <c r="O243" i="8" s="1"/>
  <c r="O244" i="8" s="1"/>
  <c r="B239" i="8"/>
  <c r="B238" i="8"/>
  <c r="B237" i="8"/>
  <c r="B236" i="8"/>
  <c r="B235" i="8"/>
  <c r="B234" i="8"/>
  <c r="O233" i="8"/>
  <c r="O234" i="8" s="1"/>
  <c r="O235" i="8" s="1"/>
  <c r="O236" i="8" s="1"/>
  <c r="O237" i="8" s="1"/>
  <c r="O238" i="8" s="1"/>
  <c r="B233" i="8"/>
  <c r="B232" i="8"/>
  <c r="B231" i="8"/>
  <c r="B230" i="8"/>
  <c r="B229" i="8"/>
  <c r="B228" i="8"/>
  <c r="O227" i="8"/>
  <c r="O228" i="8" s="1"/>
  <c r="O229" i="8" s="1"/>
  <c r="O230" i="8" s="1"/>
  <c r="O231" i="8" s="1"/>
  <c r="O232" i="8" s="1"/>
  <c r="B227" i="8"/>
  <c r="B226" i="8"/>
  <c r="B225" i="8"/>
  <c r="B224" i="8"/>
  <c r="B223" i="8"/>
  <c r="B222" i="8"/>
  <c r="O221" i="8"/>
  <c r="O222" i="8" s="1"/>
  <c r="O223" i="8" s="1"/>
  <c r="O224" i="8" s="1"/>
  <c r="O225" i="8" s="1"/>
  <c r="O226" i="8" s="1"/>
  <c r="B221" i="8"/>
  <c r="B220" i="8"/>
  <c r="B219" i="8"/>
  <c r="B218" i="8"/>
  <c r="B217" i="8"/>
  <c r="B216" i="8"/>
  <c r="O215" i="8"/>
  <c r="O216" i="8" s="1"/>
  <c r="O217" i="8" s="1"/>
  <c r="O218" i="8" s="1"/>
  <c r="O219" i="8" s="1"/>
  <c r="O220" i="8" s="1"/>
  <c r="B215" i="8"/>
  <c r="B214" i="8"/>
  <c r="B213" i="8"/>
  <c r="B212" i="8"/>
  <c r="B211" i="8"/>
  <c r="B210" i="8"/>
  <c r="O209" i="8"/>
  <c r="O210" i="8" s="1"/>
  <c r="O211" i="8" s="1"/>
  <c r="O212" i="8" s="1"/>
  <c r="O213" i="8" s="1"/>
  <c r="O214" i="8" s="1"/>
  <c r="B209" i="8"/>
  <c r="B208" i="8"/>
  <c r="B207" i="8"/>
  <c r="B206" i="8"/>
  <c r="B205" i="8"/>
  <c r="B204" i="8"/>
  <c r="O203" i="8"/>
  <c r="O204" i="8" s="1"/>
  <c r="O205" i="8" s="1"/>
  <c r="O206" i="8" s="1"/>
  <c r="O207" i="8" s="1"/>
  <c r="O208" i="8" s="1"/>
  <c r="B203" i="8"/>
  <c r="B202" i="8"/>
  <c r="B201" i="8"/>
  <c r="B200" i="8"/>
  <c r="B199" i="8"/>
  <c r="B198" i="8"/>
  <c r="O197" i="8"/>
  <c r="O198" i="8" s="1"/>
  <c r="O199" i="8" s="1"/>
  <c r="O200" i="8" s="1"/>
  <c r="O201" i="8" s="1"/>
  <c r="O202" i="8" s="1"/>
  <c r="B197" i="8"/>
  <c r="B196" i="8"/>
  <c r="B195" i="8"/>
  <c r="B194" i="8"/>
  <c r="B193" i="8"/>
  <c r="B192" i="8"/>
  <c r="O191" i="8"/>
  <c r="O192" i="8" s="1"/>
  <c r="O193" i="8" s="1"/>
  <c r="O194" i="8" s="1"/>
  <c r="O195" i="8" s="1"/>
  <c r="O196" i="8" s="1"/>
  <c r="B191" i="8"/>
  <c r="B190" i="8"/>
  <c r="B189" i="8"/>
  <c r="B188" i="8"/>
  <c r="B187" i="8"/>
  <c r="B186" i="8"/>
  <c r="O185" i="8"/>
  <c r="O186" i="8" s="1"/>
  <c r="O187" i="8" s="1"/>
  <c r="O188" i="8" s="1"/>
  <c r="O189" i="8" s="1"/>
  <c r="O190" i="8" s="1"/>
  <c r="B185" i="8"/>
  <c r="B184" i="8"/>
  <c r="B183" i="8"/>
  <c r="B182" i="8"/>
  <c r="B181" i="8"/>
  <c r="B180" i="8"/>
  <c r="O179" i="8"/>
  <c r="O180" i="8" s="1"/>
  <c r="O181" i="8" s="1"/>
  <c r="O182" i="8" s="1"/>
  <c r="O183" i="8" s="1"/>
  <c r="O184" i="8" s="1"/>
  <c r="B179" i="8"/>
  <c r="B178" i="8"/>
  <c r="B177" i="8"/>
  <c r="B176" i="8"/>
  <c r="B175" i="8"/>
  <c r="B174" i="8"/>
  <c r="O173" i="8"/>
  <c r="O174" i="8" s="1"/>
  <c r="O175" i="8" s="1"/>
  <c r="O176" i="8" s="1"/>
  <c r="O177" i="8" s="1"/>
  <c r="O178" i="8" s="1"/>
  <c r="B173" i="8"/>
  <c r="B172" i="8"/>
  <c r="B171" i="8"/>
  <c r="B170" i="8"/>
  <c r="B169" i="8"/>
  <c r="B168" i="8"/>
  <c r="O167" i="8"/>
  <c r="O168" i="8" s="1"/>
  <c r="O169" i="8" s="1"/>
  <c r="O170" i="8" s="1"/>
  <c r="O171" i="8" s="1"/>
  <c r="O172" i="8" s="1"/>
  <c r="B167" i="8"/>
  <c r="B166" i="8"/>
  <c r="B165" i="8"/>
  <c r="B164" i="8"/>
  <c r="B163" i="8"/>
  <c r="B162" i="8"/>
  <c r="O161" i="8"/>
  <c r="O162" i="8" s="1"/>
  <c r="O163" i="8" s="1"/>
  <c r="O164" i="8" s="1"/>
  <c r="O165" i="8" s="1"/>
  <c r="O166" i="8" s="1"/>
  <c r="B161" i="8"/>
  <c r="B160" i="8"/>
  <c r="B159" i="8"/>
  <c r="B158" i="8"/>
  <c r="B157" i="8"/>
  <c r="B156" i="8"/>
  <c r="O155" i="8"/>
  <c r="O156" i="8" s="1"/>
  <c r="O157" i="8" s="1"/>
  <c r="O158" i="8" s="1"/>
  <c r="O159" i="8" s="1"/>
  <c r="O160" i="8" s="1"/>
  <c r="B155" i="8"/>
  <c r="B154" i="8"/>
  <c r="B153" i="8"/>
  <c r="B152" i="8"/>
  <c r="B151" i="8"/>
  <c r="B150" i="8"/>
  <c r="O149" i="8"/>
  <c r="O150" i="8" s="1"/>
  <c r="O151" i="8" s="1"/>
  <c r="O152" i="8" s="1"/>
  <c r="O153" i="8" s="1"/>
  <c r="O154" i="8" s="1"/>
  <c r="B149" i="8"/>
  <c r="B148" i="8"/>
  <c r="B147" i="8"/>
  <c r="B146" i="8"/>
  <c r="B145" i="8"/>
  <c r="B144" i="8"/>
  <c r="O143" i="8"/>
  <c r="O144" i="8" s="1"/>
  <c r="O145" i="8" s="1"/>
  <c r="O146" i="8" s="1"/>
  <c r="O147" i="8" s="1"/>
  <c r="O148" i="8" s="1"/>
  <c r="B143" i="8"/>
  <c r="B142" i="8"/>
  <c r="B141" i="8"/>
  <c r="B140" i="8"/>
  <c r="B139" i="8"/>
  <c r="B138" i="8"/>
  <c r="O137" i="8"/>
  <c r="O138" i="8" s="1"/>
  <c r="O139" i="8" s="1"/>
  <c r="O140" i="8" s="1"/>
  <c r="O141" i="8" s="1"/>
  <c r="O142" i="8" s="1"/>
  <c r="B137" i="8"/>
  <c r="B136" i="8"/>
  <c r="B135" i="8"/>
  <c r="B134" i="8"/>
  <c r="B133" i="8"/>
  <c r="B132" i="8"/>
  <c r="O131" i="8"/>
  <c r="O132" i="8" s="1"/>
  <c r="O133" i="8" s="1"/>
  <c r="O134" i="8" s="1"/>
  <c r="O135" i="8" s="1"/>
  <c r="O136" i="8" s="1"/>
  <c r="B131" i="8"/>
  <c r="B130" i="8"/>
  <c r="B129" i="8"/>
  <c r="B128" i="8"/>
  <c r="B127" i="8"/>
  <c r="B126" i="8"/>
  <c r="O125" i="8"/>
  <c r="O126" i="8" s="1"/>
  <c r="O127" i="8" s="1"/>
  <c r="O128" i="8" s="1"/>
  <c r="O129" i="8" s="1"/>
  <c r="O130" i="8" s="1"/>
  <c r="B125" i="8"/>
  <c r="B124" i="8"/>
  <c r="B123" i="8"/>
  <c r="B122" i="8"/>
  <c r="B121" i="8"/>
  <c r="B120" i="8"/>
  <c r="O119" i="8"/>
  <c r="O120" i="8" s="1"/>
  <c r="O121" i="8" s="1"/>
  <c r="O122" i="8" s="1"/>
  <c r="O123" i="8" s="1"/>
  <c r="O124" i="8" s="1"/>
  <c r="B119" i="8"/>
  <c r="B118" i="8"/>
  <c r="B117" i="8"/>
  <c r="B116" i="8"/>
  <c r="B115" i="8"/>
  <c r="B114" i="8"/>
  <c r="O113" i="8"/>
  <c r="O114" i="8" s="1"/>
  <c r="O115" i="8" s="1"/>
  <c r="O116" i="8" s="1"/>
  <c r="O117" i="8" s="1"/>
  <c r="O118" i="8" s="1"/>
  <c r="B113" i="8"/>
  <c r="B112" i="8"/>
  <c r="B111" i="8"/>
  <c r="B110" i="8"/>
  <c r="B109" i="8"/>
  <c r="B108" i="8"/>
  <c r="O107" i="8"/>
  <c r="O108" i="8" s="1"/>
  <c r="O109" i="8" s="1"/>
  <c r="O110" i="8" s="1"/>
  <c r="O111" i="8" s="1"/>
  <c r="O112" i="8" s="1"/>
  <c r="B107" i="8"/>
  <c r="B106" i="8"/>
  <c r="B105" i="8"/>
  <c r="B104" i="8"/>
  <c r="B103" i="8"/>
  <c r="B102" i="8"/>
  <c r="O101" i="8"/>
  <c r="O102" i="8" s="1"/>
  <c r="O103" i="8" s="1"/>
  <c r="O104" i="8" s="1"/>
  <c r="O105" i="8" s="1"/>
  <c r="O106" i="8" s="1"/>
  <c r="B101" i="8"/>
  <c r="B100" i="8"/>
  <c r="B99" i="8"/>
  <c r="B98" i="8"/>
  <c r="B97" i="8"/>
  <c r="B96" i="8"/>
  <c r="O95" i="8"/>
  <c r="O96" i="8" s="1"/>
  <c r="O97" i="8" s="1"/>
  <c r="O98" i="8" s="1"/>
  <c r="O99" i="8" s="1"/>
  <c r="O100" i="8" s="1"/>
  <c r="B95" i="8"/>
  <c r="B94" i="8"/>
  <c r="B93" i="8"/>
  <c r="B92" i="8"/>
  <c r="B91" i="8"/>
  <c r="B90" i="8"/>
  <c r="O89" i="8"/>
  <c r="O90" i="8" s="1"/>
  <c r="O91" i="8" s="1"/>
  <c r="O92" i="8" s="1"/>
  <c r="O93" i="8" s="1"/>
  <c r="O94" i="8" s="1"/>
  <c r="B89" i="8"/>
  <c r="B88" i="8"/>
  <c r="B87" i="8"/>
  <c r="B86" i="8"/>
  <c r="B85" i="8"/>
  <c r="B84" i="8"/>
  <c r="O83" i="8"/>
  <c r="O84" i="8" s="1"/>
  <c r="O85" i="8" s="1"/>
  <c r="O86" i="8" s="1"/>
  <c r="O87" i="8" s="1"/>
  <c r="O88" i="8" s="1"/>
  <c r="B83" i="8"/>
  <c r="B82" i="8"/>
  <c r="B81" i="8"/>
  <c r="B80" i="8"/>
  <c r="B79" i="8"/>
  <c r="B78" i="8"/>
  <c r="O77" i="8"/>
  <c r="O78" i="8" s="1"/>
  <c r="O79" i="8" s="1"/>
  <c r="O80" i="8" s="1"/>
  <c r="O81" i="8" s="1"/>
  <c r="O82" i="8" s="1"/>
  <c r="B77" i="8"/>
  <c r="B76" i="8"/>
  <c r="B75" i="8"/>
  <c r="B74" i="8"/>
  <c r="B73" i="8"/>
  <c r="B72" i="8"/>
  <c r="O71" i="8"/>
  <c r="O72" i="8" s="1"/>
  <c r="O73" i="8" s="1"/>
  <c r="O74" i="8" s="1"/>
  <c r="O75" i="8" s="1"/>
  <c r="O76" i="8" s="1"/>
  <c r="B71" i="8"/>
  <c r="B70" i="8"/>
  <c r="B69" i="8"/>
  <c r="B68" i="8"/>
  <c r="B67" i="8"/>
  <c r="B66" i="8"/>
  <c r="O65" i="8"/>
  <c r="O66" i="8" s="1"/>
  <c r="O67" i="8" s="1"/>
  <c r="O68" i="8" s="1"/>
  <c r="O69" i="8" s="1"/>
  <c r="O70" i="8" s="1"/>
  <c r="B65" i="8"/>
  <c r="B64" i="8"/>
  <c r="B63" i="8"/>
  <c r="B62" i="8"/>
  <c r="B61" i="8"/>
  <c r="B60" i="8"/>
  <c r="O59" i="8"/>
  <c r="O60" i="8" s="1"/>
  <c r="O61" i="8" s="1"/>
  <c r="O62" i="8" s="1"/>
  <c r="O63" i="8" s="1"/>
  <c r="O64" i="8" s="1"/>
  <c r="B59" i="8"/>
  <c r="B58" i="8"/>
  <c r="B57" i="8"/>
  <c r="B56" i="8"/>
  <c r="B55" i="8"/>
  <c r="B54" i="8"/>
  <c r="O53" i="8"/>
  <c r="O54" i="8" s="1"/>
  <c r="O55" i="8" s="1"/>
  <c r="O56" i="8" s="1"/>
  <c r="O57" i="8" s="1"/>
  <c r="O58" i="8" s="1"/>
  <c r="B53" i="8"/>
  <c r="B52" i="8"/>
  <c r="B51" i="8"/>
  <c r="B50" i="8"/>
  <c r="B49" i="8"/>
  <c r="B48" i="8"/>
  <c r="O47" i="8"/>
  <c r="O48" i="8" s="1"/>
  <c r="O49" i="8" s="1"/>
  <c r="O50" i="8" s="1"/>
  <c r="O51" i="8" s="1"/>
  <c r="O52" i="8" s="1"/>
  <c r="B47" i="8"/>
  <c r="B46" i="8"/>
  <c r="B45" i="8"/>
  <c r="B44" i="8"/>
  <c r="B43" i="8"/>
  <c r="B42" i="8"/>
  <c r="O41" i="8"/>
  <c r="O42" i="8" s="1"/>
  <c r="O43" i="8" s="1"/>
  <c r="O44" i="8" s="1"/>
  <c r="O45" i="8" s="1"/>
  <c r="O46" i="8" s="1"/>
  <c r="B41" i="8"/>
  <c r="B40" i="8"/>
  <c r="B39" i="8"/>
  <c r="B38" i="8"/>
  <c r="B37" i="8"/>
  <c r="B36" i="8"/>
  <c r="O35" i="8"/>
  <c r="O36" i="8" s="1"/>
  <c r="O37" i="8" s="1"/>
  <c r="O38" i="8" s="1"/>
  <c r="O39" i="8" s="1"/>
  <c r="O40" i="8" s="1"/>
  <c r="B35" i="8"/>
  <c r="B34" i="8"/>
  <c r="B33" i="8"/>
  <c r="B32" i="8"/>
  <c r="B31" i="8"/>
  <c r="B30" i="8"/>
  <c r="O29" i="8"/>
  <c r="O30" i="8" s="1"/>
  <c r="O31" i="8" s="1"/>
  <c r="O32" i="8" s="1"/>
  <c r="O33" i="8" s="1"/>
  <c r="O34" i="8" s="1"/>
  <c r="B29" i="8"/>
  <c r="B28" i="8"/>
  <c r="B27" i="8"/>
  <c r="B26" i="8"/>
  <c r="B25" i="8"/>
  <c r="B24" i="8"/>
  <c r="O23" i="8"/>
  <c r="O24" i="8" s="1"/>
  <c r="O25" i="8" s="1"/>
  <c r="O26" i="8" s="1"/>
  <c r="O27" i="8" s="1"/>
  <c r="O28" i="8" s="1"/>
  <c r="B23" i="8"/>
  <c r="B22" i="8"/>
  <c r="B21" i="8"/>
  <c r="B20" i="8"/>
  <c r="B19" i="8"/>
  <c r="B18" i="8"/>
  <c r="O17" i="8"/>
  <c r="O18" i="8" s="1"/>
  <c r="O19" i="8" s="1"/>
  <c r="O20" i="8" s="1"/>
  <c r="O21" i="8" s="1"/>
  <c r="O22" i="8" s="1"/>
  <c r="B17" i="8"/>
  <c r="C16" i="8"/>
  <c r="D16" i="8" s="1"/>
  <c r="B16" i="8"/>
  <c r="C15" i="8"/>
  <c r="B15" i="8"/>
  <c r="C14" i="8"/>
  <c r="D14" i="8" s="1"/>
  <c r="B14" i="8"/>
  <c r="C13" i="8"/>
  <c r="B13" i="8"/>
  <c r="C12" i="8"/>
  <c r="D12" i="8" s="1"/>
  <c r="B12" i="8"/>
  <c r="O11" i="8"/>
  <c r="O12" i="8" s="1"/>
  <c r="O13" i="8" s="1"/>
  <c r="O14" i="8" s="1"/>
  <c r="O15" i="8" s="1"/>
  <c r="O16" i="8" s="1"/>
  <c r="C11" i="8"/>
  <c r="D11" i="8" s="1"/>
  <c r="B11" i="8"/>
  <c r="P8" i="8"/>
  <c r="O7" i="8"/>
  <c r="O8" i="8" s="1"/>
  <c r="O6" i="8"/>
  <c r="O5" i="8"/>
  <c r="P4" i="8"/>
  <c r="O4" i="8"/>
  <c r="D5" i="4"/>
  <c r="B384" i="4"/>
  <c r="B385" i="4"/>
  <c r="B386" i="4"/>
  <c r="B387" i="4"/>
  <c r="B388" i="4"/>
  <c r="B389" i="4"/>
  <c r="B390" i="4"/>
  <c r="B391" i="4"/>
  <c r="B392" i="4"/>
  <c r="B393" i="4"/>
  <c r="B394" i="4"/>
  <c r="B11" i="3" a="1"/>
  <c r="C15" i="3" s="1"/>
  <c r="E10" i="2"/>
  <c r="B3" i="3" s="1"/>
  <c r="D10" i="2"/>
  <c r="C10" i="2"/>
  <c r="B10" i="2"/>
  <c r="G9" i="2"/>
  <c r="F9" i="2"/>
  <c r="G8" i="2"/>
  <c r="F8" i="2"/>
  <c r="G7" i="2"/>
  <c r="F7" i="2"/>
  <c r="G6" i="2"/>
  <c r="F6" i="2"/>
  <c r="G5" i="2"/>
  <c r="F5" i="2"/>
  <c r="G4" i="2"/>
  <c r="F4" i="2"/>
  <c r="O395" i="4"/>
  <c r="O396" i="4" s="1"/>
  <c r="O397" i="4" s="1"/>
  <c r="O398" i="4" s="1"/>
  <c r="O399" i="4" s="1"/>
  <c r="O400" i="4" s="1"/>
  <c r="O401" i="4" s="1"/>
  <c r="O402" i="4" s="1"/>
  <c r="O403" i="4" s="1"/>
  <c r="P8" i="4"/>
  <c r="O7" i="4"/>
  <c r="O8" i="4" s="1"/>
  <c r="O6" i="4"/>
  <c r="O5" i="4"/>
  <c r="P4" i="4"/>
  <c r="O4" i="4"/>
  <c r="O389" i="4"/>
  <c r="O390" i="4" s="1"/>
  <c r="O391" i="4" s="1"/>
  <c r="O392" i="4" s="1"/>
  <c r="O393" i="4" s="1"/>
  <c r="O394" i="4" s="1"/>
  <c r="O383" i="4"/>
  <c r="O384" i="4" s="1"/>
  <c r="O385" i="4" s="1"/>
  <c r="O386" i="4" s="1"/>
  <c r="O387" i="4" s="1"/>
  <c r="O388" i="4" s="1"/>
  <c r="B383" i="4"/>
  <c r="B382" i="4"/>
  <c r="B381" i="4"/>
  <c r="B380" i="4"/>
  <c r="B379" i="4"/>
  <c r="B378" i="4"/>
  <c r="O377" i="4"/>
  <c r="O378" i="4" s="1"/>
  <c r="O379" i="4" s="1"/>
  <c r="O380" i="4" s="1"/>
  <c r="O381" i="4" s="1"/>
  <c r="O382" i="4" s="1"/>
  <c r="B377" i="4"/>
  <c r="B376" i="4"/>
  <c r="B375" i="4"/>
  <c r="B374" i="4"/>
  <c r="B373" i="4"/>
  <c r="B372" i="4"/>
  <c r="O371" i="4"/>
  <c r="O372" i="4" s="1"/>
  <c r="O373" i="4" s="1"/>
  <c r="O374" i="4" s="1"/>
  <c r="O375" i="4" s="1"/>
  <c r="O376" i="4" s="1"/>
  <c r="B371" i="4"/>
  <c r="B370" i="4"/>
  <c r="B369" i="4"/>
  <c r="B368" i="4"/>
  <c r="B367" i="4"/>
  <c r="B366" i="4"/>
  <c r="O365" i="4"/>
  <c r="O366" i="4" s="1"/>
  <c r="O367" i="4" s="1"/>
  <c r="O368" i="4" s="1"/>
  <c r="O369" i="4" s="1"/>
  <c r="O370" i="4" s="1"/>
  <c r="B365" i="4"/>
  <c r="B364" i="4"/>
  <c r="B363" i="4"/>
  <c r="B362" i="4"/>
  <c r="B361" i="4"/>
  <c r="B360" i="4"/>
  <c r="O359" i="4"/>
  <c r="O360" i="4" s="1"/>
  <c r="O361" i="4" s="1"/>
  <c r="O362" i="4" s="1"/>
  <c r="O363" i="4" s="1"/>
  <c r="O364" i="4" s="1"/>
  <c r="B359" i="4"/>
  <c r="B358" i="4"/>
  <c r="B357" i="4"/>
  <c r="B356" i="4"/>
  <c r="B355" i="4"/>
  <c r="B354" i="4"/>
  <c r="O353" i="4"/>
  <c r="O354" i="4" s="1"/>
  <c r="O355" i="4" s="1"/>
  <c r="O356" i="4" s="1"/>
  <c r="O357" i="4" s="1"/>
  <c r="O358" i="4" s="1"/>
  <c r="B353" i="4"/>
  <c r="B352" i="4"/>
  <c r="B351" i="4"/>
  <c r="B350" i="4"/>
  <c r="B349" i="4"/>
  <c r="B348" i="4"/>
  <c r="O347" i="4"/>
  <c r="O348" i="4" s="1"/>
  <c r="O349" i="4" s="1"/>
  <c r="O350" i="4" s="1"/>
  <c r="O351" i="4" s="1"/>
  <c r="O352" i="4" s="1"/>
  <c r="B347" i="4"/>
  <c r="B346" i="4"/>
  <c r="B345" i="4"/>
  <c r="B344" i="4"/>
  <c r="B343" i="4"/>
  <c r="B342" i="4"/>
  <c r="O341" i="4"/>
  <c r="O342" i="4" s="1"/>
  <c r="O343" i="4" s="1"/>
  <c r="O344" i="4" s="1"/>
  <c r="O345" i="4" s="1"/>
  <c r="O346" i="4" s="1"/>
  <c r="B341" i="4"/>
  <c r="B340" i="4"/>
  <c r="B339" i="4"/>
  <c r="B338" i="4"/>
  <c r="B337" i="4"/>
  <c r="B336" i="4"/>
  <c r="O335" i="4"/>
  <c r="O336" i="4" s="1"/>
  <c r="O337" i="4" s="1"/>
  <c r="O338" i="4" s="1"/>
  <c r="O339" i="4" s="1"/>
  <c r="O340" i="4" s="1"/>
  <c r="B335" i="4"/>
  <c r="B334" i="4"/>
  <c r="B333" i="4"/>
  <c r="B332" i="4"/>
  <c r="B331" i="4"/>
  <c r="B330" i="4"/>
  <c r="O329" i="4"/>
  <c r="O330" i="4" s="1"/>
  <c r="O331" i="4" s="1"/>
  <c r="O332" i="4" s="1"/>
  <c r="O333" i="4" s="1"/>
  <c r="O334" i="4" s="1"/>
  <c r="B329" i="4"/>
  <c r="B328" i="4"/>
  <c r="B327" i="4"/>
  <c r="B326" i="4"/>
  <c r="B325" i="4"/>
  <c r="B324" i="4"/>
  <c r="O323" i="4"/>
  <c r="O324" i="4" s="1"/>
  <c r="O325" i="4" s="1"/>
  <c r="O326" i="4" s="1"/>
  <c r="O327" i="4" s="1"/>
  <c r="O328" i="4" s="1"/>
  <c r="B323" i="4"/>
  <c r="B322" i="4"/>
  <c r="B321" i="4"/>
  <c r="B320" i="4"/>
  <c r="B319" i="4"/>
  <c r="B318" i="4"/>
  <c r="O317" i="4"/>
  <c r="O318" i="4" s="1"/>
  <c r="O319" i="4" s="1"/>
  <c r="O320" i="4" s="1"/>
  <c r="O321" i="4" s="1"/>
  <c r="O322" i="4" s="1"/>
  <c r="B317" i="4"/>
  <c r="B316" i="4"/>
  <c r="B315" i="4"/>
  <c r="B314" i="4"/>
  <c r="B313" i="4"/>
  <c r="B312" i="4"/>
  <c r="O311" i="4"/>
  <c r="O312" i="4" s="1"/>
  <c r="O313" i="4" s="1"/>
  <c r="O314" i="4" s="1"/>
  <c r="O315" i="4" s="1"/>
  <c r="O316" i="4" s="1"/>
  <c r="B311" i="4"/>
  <c r="B310" i="4"/>
  <c r="B309" i="4"/>
  <c r="B308" i="4"/>
  <c r="B307" i="4"/>
  <c r="B306" i="4"/>
  <c r="O305" i="4"/>
  <c r="O306" i="4" s="1"/>
  <c r="O307" i="4" s="1"/>
  <c r="O308" i="4" s="1"/>
  <c r="O309" i="4" s="1"/>
  <c r="O310" i="4" s="1"/>
  <c r="B305" i="4"/>
  <c r="B304" i="4"/>
  <c r="B303" i="4"/>
  <c r="B302" i="4"/>
  <c r="B301" i="4"/>
  <c r="B300" i="4"/>
  <c r="O299" i="4"/>
  <c r="O300" i="4" s="1"/>
  <c r="O301" i="4" s="1"/>
  <c r="O302" i="4" s="1"/>
  <c r="O303" i="4" s="1"/>
  <c r="O304" i="4" s="1"/>
  <c r="B299" i="4"/>
  <c r="B298" i="4"/>
  <c r="B297" i="4"/>
  <c r="B296" i="4"/>
  <c r="B295" i="4"/>
  <c r="B294" i="4"/>
  <c r="O293" i="4"/>
  <c r="O294" i="4" s="1"/>
  <c r="O295" i="4" s="1"/>
  <c r="O296" i="4" s="1"/>
  <c r="O297" i="4" s="1"/>
  <c r="O298" i="4" s="1"/>
  <c r="B293" i="4"/>
  <c r="B292" i="4"/>
  <c r="B291" i="4"/>
  <c r="B290" i="4"/>
  <c r="B289" i="4"/>
  <c r="B288" i="4"/>
  <c r="O287" i="4"/>
  <c r="O288" i="4" s="1"/>
  <c r="O289" i="4" s="1"/>
  <c r="O290" i="4" s="1"/>
  <c r="O291" i="4" s="1"/>
  <c r="O292" i="4" s="1"/>
  <c r="B287" i="4"/>
  <c r="B286" i="4"/>
  <c r="B285" i="4"/>
  <c r="B284" i="4"/>
  <c r="B283" i="4"/>
  <c r="B282" i="4"/>
  <c r="O281" i="4"/>
  <c r="O282" i="4" s="1"/>
  <c r="O283" i="4" s="1"/>
  <c r="O284" i="4" s="1"/>
  <c r="O285" i="4" s="1"/>
  <c r="O286" i="4" s="1"/>
  <c r="B281" i="4"/>
  <c r="B280" i="4"/>
  <c r="B279" i="4"/>
  <c r="B278" i="4"/>
  <c r="B277" i="4"/>
  <c r="B276" i="4"/>
  <c r="O275" i="4"/>
  <c r="O276" i="4" s="1"/>
  <c r="O277" i="4" s="1"/>
  <c r="O278" i="4" s="1"/>
  <c r="O279" i="4" s="1"/>
  <c r="O280" i="4" s="1"/>
  <c r="B275" i="4"/>
  <c r="B274" i="4"/>
  <c r="B273" i="4"/>
  <c r="B272" i="4"/>
  <c r="B271" i="4"/>
  <c r="B270" i="4"/>
  <c r="O269" i="4"/>
  <c r="O270" i="4" s="1"/>
  <c r="O271" i="4" s="1"/>
  <c r="O272" i="4" s="1"/>
  <c r="O273" i="4" s="1"/>
  <c r="O274" i="4" s="1"/>
  <c r="B269" i="4"/>
  <c r="B268" i="4"/>
  <c r="B267" i="4"/>
  <c r="B266" i="4"/>
  <c r="B265" i="4"/>
  <c r="B264" i="4"/>
  <c r="O263" i="4"/>
  <c r="O264" i="4" s="1"/>
  <c r="O265" i="4" s="1"/>
  <c r="O266" i="4" s="1"/>
  <c r="O267" i="4" s="1"/>
  <c r="O268" i="4" s="1"/>
  <c r="B263" i="4"/>
  <c r="B262" i="4"/>
  <c r="B261" i="4"/>
  <c r="B260" i="4"/>
  <c r="B259" i="4"/>
  <c r="B258" i="4"/>
  <c r="O257" i="4"/>
  <c r="O258" i="4" s="1"/>
  <c r="O259" i="4" s="1"/>
  <c r="O260" i="4" s="1"/>
  <c r="O261" i="4" s="1"/>
  <c r="O262" i="4" s="1"/>
  <c r="B257" i="4"/>
  <c r="B256" i="4"/>
  <c r="B255" i="4"/>
  <c r="B254" i="4"/>
  <c r="B253" i="4"/>
  <c r="B252" i="4"/>
  <c r="O251" i="4"/>
  <c r="O252" i="4" s="1"/>
  <c r="O253" i="4" s="1"/>
  <c r="O254" i="4" s="1"/>
  <c r="O255" i="4" s="1"/>
  <c r="O256" i="4" s="1"/>
  <c r="B251" i="4"/>
  <c r="B250" i="4"/>
  <c r="B249" i="4"/>
  <c r="B248" i="4"/>
  <c r="B247" i="4"/>
  <c r="B246" i="4"/>
  <c r="O245" i="4"/>
  <c r="O246" i="4" s="1"/>
  <c r="O247" i="4" s="1"/>
  <c r="O248" i="4" s="1"/>
  <c r="O249" i="4" s="1"/>
  <c r="O250" i="4" s="1"/>
  <c r="B245" i="4"/>
  <c r="B244" i="4"/>
  <c r="B243" i="4"/>
  <c r="B242" i="4"/>
  <c r="B241" i="4"/>
  <c r="B240" i="4"/>
  <c r="O239" i="4"/>
  <c r="O240" i="4" s="1"/>
  <c r="O241" i="4" s="1"/>
  <c r="O242" i="4" s="1"/>
  <c r="O243" i="4" s="1"/>
  <c r="O244" i="4" s="1"/>
  <c r="B239" i="4"/>
  <c r="B238" i="4"/>
  <c r="B237" i="4"/>
  <c r="B236" i="4"/>
  <c r="B235" i="4"/>
  <c r="B234" i="4"/>
  <c r="O233" i="4"/>
  <c r="O234" i="4" s="1"/>
  <c r="O235" i="4" s="1"/>
  <c r="O236" i="4" s="1"/>
  <c r="O237" i="4" s="1"/>
  <c r="O238" i="4" s="1"/>
  <c r="B233" i="4"/>
  <c r="B232" i="4"/>
  <c r="B231" i="4"/>
  <c r="B230" i="4"/>
  <c r="B229" i="4"/>
  <c r="B228" i="4"/>
  <c r="O227" i="4"/>
  <c r="O228" i="4" s="1"/>
  <c r="O229" i="4" s="1"/>
  <c r="O230" i="4" s="1"/>
  <c r="O231" i="4" s="1"/>
  <c r="O232" i="4" s="1"/>
  <c r="B227" i="4"/>
  <c r="B226" i="4"/>
  <c r="B225" i="4"/>
  <c r="B224" i="4"/>
  <c r="B223" i="4"/>
  <c r="B222" i="4"/>
  <c r="O221" i="4"/>
  <c r="O222" i="4" s="1"/>
  <c r="O223" i="4" s="1"/>
  <c r="O224" i="4" s="1"/>
  <c r="O225" i="4" s="1"/>
  <c r="O226" i="4" s="1"/>
  <c r="B221" i="4"/>
  <c r="B220" i="4"/>
  <c r="B219" i="4"/>
  <c r="B218" i="4"/>
  <c r="B217" i="4"/>
  <c r="B216" i="4"/>
  <c r="O215" i="4"/>
  <c r="O216" i="4" s="1"/>
  <c r="O217" i="4" s="1"/>
  <c r="O218" i="4" s="1"/>
  <c r="O219" i="4" s="1"/>
  <c r="O220" i="4" s="1"/>
  <c r="B215" i="4"/>
  <c r="B214" i="4"/>
  <c r="B213" i="4"/>
  <c r="B212" i="4"/>
  <c r="B211" i="4"/>
  <c r="B210" i="4"/>
  <c r="O209" i="4"/>
  <c r="O210" i="4" s="1"/>
  <c r="O211" i="4" s="1"/>
  <c r="O212" i="4" s="1"/>
  <c r="O213" i="4" s="1"/>
  <c r="O214" i="4" s="1"/>
  <c r="B209" i="4"/>
  <c r="B208" i="4"/>
  <c r="B207" i="4"/>
  <c r="B206" i="4"/>
  <c r="B205" i="4"/>
  <c r="B204" i="4"/>
  <c r="O203" i="4"/>
  <c r="O204" i="4" s="1"/>
  <c r="O205" i="4" s="1"/>
  <c r="O206" i="4" s="1"/>
  <c r="O207" i="4" s="1"/>
  <c r="O208" i="4" s="1"/>
  <c r="B203" i="4"/>
  <c r="B202" i="4"/>
  <c r="B201" i="4"/>
  <c r="B200" i="4"/>
  <c r="B199" i="4"/>
  <c r="B198" i="4"/>
  <c r="O197" i="4"/>
  <c r="O198" i="4" s="1"/>
  <c r="O199" i="4" s="1"/>
  <c r="O200" i="4" s="1"/>
  <c r="O201" i="4" s="1"/>
  <c r="O202" i="4" s="1"/>
  <c r="B197" i="4"/>
  <c r="B196" i="4"/>
  <c r="B195" i="4"/>
  <c r="B194" i="4"/>
  <c r="B193" i="4"/>
  <c r="B192" i="4"/>
  <c r="O191" i="4"/>
  <c r="O192" i="4" s="1"/>
  <c r="O193" i="4" s="1"/>
  <c r="O194" i="4" s="1"/>
  <c r="O195" i="4" s="1"/>
  <c r="O196" i="4" s="1"/>
  <c r="B191" i="4"/>
  <c r="B190" i="4"/>
  <c r="B189" i="4"/>
  <c r="B188" i="4"/>
  <c r="B187" i="4"/>
  <c r="B186" i="4"/>
  <c r="O185" i="4"/>
  <c r="O186" i="4" s="1"/>
  <c r="O187" i="4" s="1"/>
  <c r="O188" i="4" s="1"/>
  <c r="O189" i="4" s="1"/>
  <c r="O190" i="4" s="1"/>
  <c r="B185" i="4"/>
  <c r="B184" i="4"/>
  <c r="B183" i="4"/>
  <c r="B182" i="4"/>
  <c r="B181" i="4"/>
  <c r="B180" i="4"/>
  <c r="O179" i="4"/>
  <c r="O180" i="4" s="1"/>
  <c r="O181" i="4" s="1"/>
  <c r="O182" i="4" s="1"/>
  <c r="O183" i="4" s="1"/>
  <c r="O184" i="4" s="1"/>
  <c r="B179" i="4"/>
  <c r="B178" i="4"/>
  <c r="B177" i="4"/>
  <c r="B176" i="4"/>
  <c r="B175" i="4"/>
  <c r="B174" i="4"/>
  <c r="O173" i="4"/>
  <c r="O174" i="4" s="1"/>
  <c r="O175" i="4" s="1"/>
  <c r="O176" i="4" s="1"/>
  <c r="O177" i="4" s="1"/>
  <c r="O178" i="4" s="1"/>
  <c r="B173" i="4"/>
  <c r="B172" i="4"/>
  <c r="B171" i="4"/>
  <c r="B170" i="4"/>
  <c r="B169" i="4"/>
  <c r="B168" i="4"/>
  <c r="O167" i="4"/>
  <c r="O168" i="4" s="1"/>
  <c r="O169" i="4" s="1"/>
  <c r="O170" i="4" s="1"/>
  <c r="O171" i="4" s="1"/>
  <c r="O172" i="4" s="1"/>
  <c r="B167" i="4"/>
  <c r="B166" i="4"/>
  <c r="B165" i="4"/>
  <c r="B164" i="4"/>
  <c r="B163" i="4"/>
  <c r="B162" i="4"/>
  <c r="O161" i="4"/>
  <c r="O162" i="4" s="1"/>
  <c r="O163" i="4" s="1"/>
  <c r="O164" i="4" s="1"/>
  <c r="O165" i="4" s="1"/>
  <c r="O166" i="4" s="1"/>
  <c r="B161" i="4"/>
  <c r="B160" i="4"/>
  <c r="B159" i="4"/>
  <c r="B158" i="4"/>
  <c r="B157" i="4"/>
  <c r="B156" i="4"/>
  <c r="O155" i="4"/>
  <c r="O156" i="4" s="1"/>
  <c r="O157" i="4" s="1"/>
  <c r="O158" i="4" s="1"/>
  <c r="O159" i="4" s="1"/>
  <c r="O160" i="4" s="1"/>
  <c r="B155" i="4"/>
  <c r="B154" i="4"/>
  <c r="B153" i="4"/>
  <c r="B152" i="4"/>
  <c r="B151" i="4"/>
  <c r="B150" i="4"/>
  <c r="O149" i="4"/>
  <c r="O150" i="4" s="1"/>
  <c r="O151" i="4" s="1"/>
  <c r="O152" i="4" s="1"/>
  <c r="O153" i="4" s="1"/>
  <c r="O154" i="4" s="1"/>
  <c r="B149" i="4"/>
  <c r="B148" i="4"/>
  <c r="B147" i="4"/>
  <c r="B146" i="4"/>
  <c r="B145" i="4"/>
  <c r="B144" i="4"/>
  <c r="O143" i="4"/>
  <c r="O144" i="4" s="1"/>
  <c r="O145" i="4" s="1"/>
  <c r="O146" i="4" s="1"/>
  <c r="O147" i="4" s="1"/>
  <c r="O148" i="4" s="1"/>
  <c r="B143" i="4"/>
  <c r="B142" i="4"/>
  <c r="B141" i="4"/>
  <c r="B140" i="4"/>
  <c r="B139" i="4"/>
  <c r="B138" i="4"/>
  <c r="O137" i="4"/>
  <c r="O138" i="4" s="1"/>
  <c r="O139" i="4" s="1"/>
  <c r="O140" i="4" s="1"/>
  <c r="O141" i="4" s="1"/>
  <c r="O142" i="4" s="1"/>
  <c r="B137" i="4"/>
  <c r="B136" i="4"/>
  <c r="B135" i="4"/>
  <c r="B134" i="4"/>
  <c r="B133" i="4"/>
  <c r="B132" i="4"/>
  <c r="O131" i="4"/>
  <c r="O132" i="4" s="1"/>
  <c r="O133" i="4" s="1"/>
  <c r="O134" i="4" s="1"/>
  <c r="O135" i="4" s="1"/>
  <c r="O136" i="4" s="1"/>
  <c r="B131" i="4"/>
  <c r="B130" i="4"/>
  <c r="B129" i="4"/>
  <c r="B128" i="4"/>
  <c r="B127" i="4"/>
  <c r="B126" i="4"/>
  <c r="O125" i="4"/>
  <c r="O126" i="4" s="1"/>
  <c r="O127" i="4" s="1"/>
  <c r="O128" i="4" s="1"/>
  <c r="O129" i="4" s="1"/>
  <c r="O130" i="4" s="1"/>
  <c r="B125" i="4"/>
  <c r="B124" i="4"/>
  <c r="B123" i="4"/>
  <c r="B122" i="4"/>
  <c r="B121" i="4"/>
  <c r="B120" i="4"/>
  <c r="O119" i="4"/>
  <c r="O120" i="4" s="1"/>
  <c r="O121" i="4" s="1"/>
  <c r="O122" i="4" s="1"/>
  <c r="O123" i="4" s="1"/>
  <c r="O124" i="4" s="1"/>
  <c r="B119" i="4"/>
  <c r="B118" i="4"/>
  <c r="B117" i="4"/>
  <c r="B116" i="4"/>
  <c r="B115" i="4"/>
  <c r="B114" i="4"/>
  <c r="O113" i="4"/>
  <c r="O114" i="4" s="1"/>
  <c r="O115" i="4" s="1"/>
  <c r="O116" i="4" s="1"/>
  <c r="O117" i="4" s="1"/>
  <c r="O118" i="4" s="1"/>
  <c r="B113" i="4"/>
  <c r="B112" i="4"/>
  <c r="B111" i="4"/>
  <c r="B110" i="4"/>
  <c r="B109" i="4"/>
  <c r="B108" i="4"/>
  <c r="O107" i="4"/>
  <c r="O108" i="4" s="1"/>
  <c r="O109" i="4" s="1"/>
  <c r="O110" i="4" s="1"/>
  <c r="O111" i="4" s="1"/>
  <c r="O112" i="4" s="1"/>
  <c r="B107" i="4"/>
  <c r="B106" i="4"/>
  <c r="B105" i="4"/>
  <c r="B104" i="4"/>
  <c r="B103" i="4"/>
  <c r="B102" i="4"/>
  <c r="O101" i="4"/>
  <c r="O102" i="4" s="1"/>
  <c r="O103" i="4" s="1"/>
  <c r="O104" i="4" s="1"/>
  <c r="O105" i="4" s="1"/>
  <c r="O106" i="4" s="1"/>
  <c r="B101" i="4"/>
  <c r="B100" i="4"/>
  <c r="B99" i="4"/>
  <c r="B98" i="4"/>
  <c r="B97" i="4"/>
  <c r="B96" i="4"/>
  <c r="O95" i="4"/>
  <c r="O96" i="4" s="1"/>
  <c r="O97" i="4" s="1"/>
  <c r="O98" i="4" s="1"/>
  <c r="O99" i="4" s="1"/>
  <c r="O100" i="4" s="1"/>
  <c r="B95" i="4"/>
  <c r="B94" i="4"/>
  <c r="B93" i="4"/>
  <c r="B92" i="4"/>
  <c r="B91" i="4"/>
  <c r="B90" i="4"/>
  <c r="O89" i="4"/>
  <c r="O90" i="4" s="1"/>
  <c r="O91" i="4" s="1"/>
  <c r="O92" i="4" s="1"/>
  <c r="O93" i="4" s="1"/>
  <c r="O94" i="4" s="1"/>
  <c r="B89" i="4"/>
  <c r="B88" i="4"/>
  <c r="B87" i="4"/>
  <c r="B86" i="4"/>
  <c r="B85" i="4"/>
  <c r="B84" i="4"/>
  <c r="O83" i="4"/>
  <c r="O84" i="4" s="1"/>
  <c r="O85" i="4" s="1"/>
  <c r="O86" i="4" s="1"/>
  <c r="O87" i="4" s="1"/>
  <c r="O88" i="4" s="1"/>
  <c r="B83" i="4"/>
  <c r="B82" i="4"/>
  <c r="B81" i="4"/>
  <c r="B80" i="4"/>
  <c r="B79" i="4"/>
  <c r="B78" i="4"/>
  <c r="O77" i="4"/>
  <c r="O78" i="4" s="1"/>
  <c r="O79" i="4" s="1"/>
  <c r="O80" i="4" s="1"/>
  <c r="O81" i="4" s="1"/>
  <c r="O82" i="4" s="1"/>
  <c r="B77" i="4"/>
  <c r="B76" i="4"/>
  <c r="B75" i="4"/>
  <c r="B74" i="4"/>
  <c r="B73" i="4"/>
  <c r="B72" i="4"/>
  <c r="O71" i="4"/>
  <c r="O72" i="4" s="1"/>
  <c r="O73" i="4" s="1"/>
  <c r="O74" i="4" s="1"/>
  <c r="O75" i="4" s="1"/>
  <c r="O76" i="4" s="1"/>
  <c r="B71" i="4"/>
  <c r="B70" i="4"/>
  <c r="B69" i="4"/>
  <c r="B68" i="4"/>
  <c r="B67" i="4"/>
  <c r="B66" i="4"/>
  <c r="O65" i="4"/>
  <c r="O66" i="4" s="1"/>
  <c r="O67" i="4" s="1"/>
  <c r="O68" i="4" s="1"/>
  <c r="O69" i="4" s="1"/>
  <c r="O70" i="4" s="1"/>
  <c r="B65" i="4"/>
  <c r="B64" i="4"/>
  <c r="B63" i="4"/>
  <c r="B62" i="4"/>
  <c r="B61" i="4"/>
  <c r="B60" i="4"/>
  <c r="O59" i="4"/>
  <c r="O60" i="4" s="1"/>
  <c r="O61" i="4" s="1"/>
  <c r="O62" i="4" s="1"/>
  <c r="O63" i="4" s="1"/>
  <c r="O64" i="4" s="1"/>
  <c r="B59" i="4"/>
  <c r="B58" i="4"/>
  <c r="B57" i="4"/>
  <c r="B56" i="4"/>
  <c r="B55" i="4"/>
  <c r="B54" i="4"/>
  <c r="O53" i="4"/>
  <c r="O54" i="4" s="1"/>
  <c r="O55" i="4" s="1"/>
  <c r="O56" i="4" s="1"/>
  <c r="O57" i="4" s="1"/>
  <c r="O58" i="4" s="1"/>
  <c r="B53" i="4"/>
  <c r="B52" i="4"/>
  <c r="B51" i="4"/>
  <c r="B50" i="4"/>
  <c r="B49" i="4"/>
  <c r="B48" i="4"/>
  <c r="O47" i="4"/>
  <c r="O48" i="4" s="1"/>
  <c r="O49" i="4" s="1"/>
  <c r="O50" i="4" s="1"/>
  <c r="O51" i="4" s="1"/>
  <c r="O52" i="4" s="1"/>
  <c r="B47" i="4"/>
  <c r="B46" i="4"/>
  <c r="B45" i="4"/>
  <c r="B44" i="4"/>
  <c r="B43" i="4"/>
  <c r="B42" i="4"/>
  <c r="O41" i="4"/>
  <c r="O42" i="4" s="1"/>
  <c r="O43" i="4" s="1"/>
  <c r="O44" i="4" s="1"/>
  <c r="O45" i="4" s="1"/>
  <c r="O46" i="4" s="1"/>
  <c r="B41" i="4"/>
  <c r="B40" i="4"/>
  <c r="B39" i="4"/>
  <c r="B38" i="4"/>
  <c r="B37" i="4"/>
  <c r="B36" i="4"/>
  <c r="O35" i="4"/>
  <c r="O36" i="4" s="1"/>
  <c r="O37" i="4" s="1"/>
  <c r="O38" i="4" s="1"/>
  <c r="O39" i="4" s="1"/>
  <c r="O40" i="4" s="1"/>
  <c r="B35" i="4"/>
  <c r="B34" i="4"/>
  <c r="B33" i="4"/>
  <c r="B32" i="4"/>
  <c r="B31" i="4"/>
  <c r="B30" i="4"/>
  <c r="O29" i="4"/>
  <c r="O30" i="4" s="1"/>
  <c r="O31" i="4" s="1"/>
  <c r="O32" i="4" s="1"/>
  <c r="O33" i="4" s="1"/>
  <c r="O34" i="4" s="1"/>
  <c r="B29" i="4"/>
  <c r="B28" i="4"/>
  <c r="B27" i="4"/>
  <c r="B26" i="4"/>
  <c r="B25" i="4"/>
  <c r="B24" i="4"/>
  <c r="O23" i="4"/>
  <c r="O24" i="4" s="1"/>
  <c r="O25" i="4" s="1"/>
  <c r="O26" i="4" s="1"/>
  <c r="O27" i="4" s="1"/>
  <c r="O28" i="4" s="1"/>
  <c r="B23" i="4"/>
  <c r="B22" i="4"/>
  <c r="B21" i="4"/>
  <c r="B20" i="4"/>
  <c r="B19" i="4"/>
  <c r="B18" i="4"/>
  <c r="O17" i="4"/>
  <c r="O18" i="4" s="1"/>
  <c r="O19" i="4" s="1"/>
  <c r="O20" i="4" s="1"/>
  <c r="O21" i="4" s="1"/>
  <c r="O22" i="4" s="1"/>
  <c r="B17" i="4"/>
  <c r="C16" i="4"/>
  <c r="B16" i="4"/>
  <c r="C15" i="4"/>
  <c r="D15" i="4" s="1"/>
  <c r="B15" i="4"/>
  <c r="C14" i="4"/>
  <c r="D14" i="4" s="1"/>
  <c r="B14" i="4"/>
  <c r="C13" i="4"/>
  <c r="D13" i="4" s="1"/>
  <c r="B13" i="4"/>
  <c r="C12" i="4"/>
  <c r="B12" i="4"/>
  <c r="O11" i="4"/>
  <c r="O12" i="4" s="1"/>
  <c r="O13" i="4" s="1"/>
  <c r="O14" i="4" s="1"/>
  <c r="O15" i="4" s="1"/>
  <c r="O16" i="4" s="1"/>
  <c r="C11" i="4"/>
  <c r="D11" i="4" s="1"/>
  <c r="B11" i="4"/>
  <c r="B3" i="9" l="1"/>
  <c r="F3" i="9" s="1"/>
  <c r="C15" i="9"/>
  <c r="D15" i="9" s="1"/>
  <c r="C16" i="9"/>
  <c r="D16" i="9" s="1"/>
  <c r="D13" i="9"/>
  <c r="C14" i="9"/>
  <c r="B11" i="9"/>
  <c r="C12" i="9"/>
  <c r="P15" i="4"/>
  <c r="P14" i="8"/>
  <c r="P12" i="8"/>
  <c r="D15" i="8"/>
  <c r="P15" i="8" s="1"/>
  <c r="D13" i="8"/>
  <c r="P13" i="8" s="1"/>
  <c r="B3" i="8"/>
  <c r="F3" i="8" s="1"/>
  <c r="P11" i="8"/>
  <c r="P16" i="8"/>
  <c r="C16" i="3"/>
  <c r="D16" i="3" s="1"/>
  <c r="C14" i="3"/>
  <c r="D14" i="3" s="1"/>
  <c r="C13" i="3"/>
  <c r="D13" i="3" s="1"/>
  <c r="C12" i="3"/>
  <c r="D12" i="3" s="1"/>
  <c r="D15" i="3"/>
  <c r="B11" i="3"/>
  <c r="F3" i="3"/>
  <c r="B3" i="4"/>
  <c r="F3" i="4" s="1"/>
  <c r="P13" i="4"/>
  <c r="D16" i="4"/>
  <c r="P14" i="4"/>
  <c r="D12" i="4"/>
  <c r="F10" i="2"/>
  <c r="D12" i="9" l="1"/>
  <c r="D14" i="9"/>
  <c r="C11" i="9"/>
  <c r="B17" i="9" a="1"/>
  <c r="L9" i="4"/>
  <c r="P16" i="4"/>
  <c r="P12" i="4"/>
  <c r="E11" i="8"/>
  <c r="L9" i="8"/>
  <c r="B17" i="3" a="1"/>
  <c r="B17" i="3" s="1"/>
  <c r="B23" i="3" s="1" a="1"/>
  <c r="C11" i="3"/>
  <c r="D11" i="3" s="1"/>
  <c r="P11" i="4"/>
  <c r="E11" i="3" l="1" a="1"/>
  <c r="E11" i="3" s="1"/>
  <c r="D11" i="9"/>
  <c r="B17" i="9"/>
  <c r="F11" i="8"/>
  <c r="C17" i="8" s="1"/>
  <c r="E11" i="4"/>
  <c r="E12" i="8"/>
  <c r="F12" i="8" s="1"/>
  <c r="G12" i="8" s="1"/>
  <c r="B23" i="3"/>
  <c r="L9" i="3"/>
  <c r="E12" i="3" a="1"/>
  <c r="E12" i="3" s="1"/>
  <c r="L9" i="9" l="1"/>
  <c r="F11" i="3"/>
  <c r="G11" i="3" s="1"/>
  <c r="G11" i="8"/>
  <c r="E11" i="9" a="1"/>
  <c r="E11" i="9" s="1"/>
  <c r="B23" i="9" a="1"/>
  <c r="E12" i="9" a="1"/>
  <c r="E12" i="9" s="1"/>
  <c r="E12" i="4"/>
  <c r="F12" i="4" s="1"/>
  <c r="G12" i="4" s="1"/>
  <c r="F11" i="4"/>
  <c r="G11" i="4" s="1"/>
  <c r="E13" i="8"/>
  <c r="F13" i="8" s="1"/>
  <c r="C19" i="8" s="1"/>
  <c r="C18" i="8"/>
  <c r="D18" i="8" s="1"/>
  <c r="D17" i="8"/>
  <c r="B29" i="3" a="1"/>
  <c r="E13" i="3" a="1"/>
  <c r="E13" i="3" s="1"/>
  <c r="F13" i="3" s="1"/>
  <c r="F12" i="3"/>
  <c r="F11" i="9" l="1"/>
  <c r="G11" i="9" s="1"/>
  <c r="F12" i="9"/>
  <c r="G12" i="9" s="1"/>
  <c r="E13" i="9" a="1"/>
  <c r="E13" i="9" s="1"/>
  <c r="F13" i="9" s="1"/>
  <c r="G13" i="9" s="1"/>
  <c r="B23" i="9"/>
  <c r="E13" i="4"/>
  <c r="C18" i="4"/>
  <c r="D18" i="4" s="1"/>
  <c r="C17" i="4"/>
  <c r="D17" i="4" s="1"/>
  <c r="E14" i="8"/>
  <c r="F14" i="8" s="1"/>
  <c r="C20" i="8" s="1"/>
  <c r="G13" i="8"/>
  <c r="P18" i="8"/>
  <c r="D19" i="8"/>
  <c r="P19" i="8" s="1"/>
  <c r="P17" i="8"/>
  <c r="B29" i="3"/>
  <c r="E14" i="3" a="1"/>
  <c r="E14" i="3" s="1"/>
  <c r="F14" i="3" s="1"/>
  <c r="G12" i="3"/>
  <c r="E14" i="9" l="1" a="1"/>
  <c r="E14" i="9" s="1"/>
  <c r="F14" i="9" s="1"/>
  <c r="G14" i="9" s="1"/>
  <c r="B29" i="9" a="1"/>
  <c r="F13" i="4"/>
  <c r="C19" i="4" s="1"/>
  <c r="D19" i="4" s="1"/>
  <c r="P18" i="4"/>
  <c r="E14" i="4"/>
  <c r="F14" i="4" s="1"/>
  <c r="G14" i="4" s="1"/>
  <c r="P17" i="4"/>
  <c r="G14" i="8"/>
  <c r="E15" i="8"/>
  <c r="F15" i="8" s="1"/>
  <c r="G15" i="8" s="1"/>
  <c r="D20" i="8"/>
  <c r="B35" i="3" a="1"/>
  <c r="E15" i="3" a="1"/>
  <c r="E15" i="3" s="1"/>
  <c r="E16" i="3" s="1" a="1"/>
  <c r="E16" i="3" s="1"/>
  <c r="G13" i="3"/>
  <c r="E15" i="9" l="1" a="1"/>
  <c r="E15" i="9" s="1"/>
  <c r="B29" i="9"/>
  <c r="P19" i="4"/>
  <c r="G13" i="4"/>
  <c r="E15" i="4"/>
  <c r="F15" i="4" s="1"/>
  <c r="C21" i="4" s="1"/>
  <c r="D21" i="4" s="1"/>
  <c r="C20" i="4"/>
  <c r="D20" i="4" s="1"/>
  <c r="C21" i="8"/>
  <c r="D21" i="8" s="1"/>
  <c r="P21" i="8" s="1"/>
  <c r="E16" i="8"/>
  <c r="F16" i="8" s="1"/>
  <c r="C22" i="8" s="1"/>
  <c r="P20" i="8"/>
  <c r="B35" i="3"/>
  <c r="F15" i="3"/>
  <c r="F16" i="3"/>
  <c r="G14" i="3"/>
  <c r="B35" i="9" l="1" a="1"/>
  <c r="F15" i="9"/>
  <c r="E16" i="9" a="1"/>
  <c r="E16" i="9" s="1"/>
  <c r="P20" i="4"/>
  <c r="E16" i="4"/>
  <c r="G15" i="4"/>
  <c r="P21" i="4"/>
  <c r="K9" i="8"/>
  <c r="M9" i="8"/>
  <c r="G16" i="8"/>
  <c r="D22" i="8"/>
  <c r="L10" i="8" s="1"/>
  <c r="B41" i="3" a="1"/>
  <c r="G15" i="3"/>
  <c r="C17" i="3" a="1"/>
  <c r="G15" i="9" l="1"/>
  <c r="F16" i="9"/>
  <c r="B35" i="9"/>
  <c r="F16" i="4"/>
  <c r="M9" i="4" s="1"/>
  <c r="P22" i="8"/>
  <c r="B41" i="3"/>
  <c r="C17" i="3"/>
  <c r="D17" i="3" s="1"/>
  <c r="D22" i="3"/>
  <c r="D20" i="3"/>
  <c r="D21" i="3"/>
  <c r="D18" i="3"/>
  <c r="D19" i="3"/>
  <c r="G16" i="3"/>
  <c r="K9" i="3"/>
  <c r="B10" i="5" s="1"/>
  <c r="M9" i="3"/>
  <c r="G16" i="9" l="1"/>
  <c r="M9" i="9"/>
  <c r="B41" i="9" a="1"/>
  <c r="K9" i="9"/>
  <c r="C17" i="9" a="1"/>
  <c r="K9" i="4"/>
  <c r="C22" i="4"/>
  <c r="G16" i="4"/>
  <c r="B47" i="3" a="1"/>
  <c r="E17" i="3" a="1"/>
  <c r="E17" i="3" s="1"/>
  <c r="B41" i="9" l="1"/>
  <c r="C17" i="9"/>
  <c r="D19" i="9"/>
  <c r="D18" i="9"/>
  <c r="E18" i="9" s="1" a="1"/>
  <c r="E18" i="9" s="1"/>
  <c r="D20" i="9"/>
  <c r="D22" i="9"/>
  <c r="D21" i="9"/>
  <c r="D22" i="4"/>
  <c r="L10" i="4" s="1"/>
  <c r="B47" i="3"/>
  <c r="E18" i="3" a="1"/>
  <c r="E18" i="3" s="1"/>
  <c r="E19" i="9" l="1" a="1"/>
  <c r="E19" i="9" s="1"/>
  <c r="F19" i="9" s="1"/>
  <c r="G19" i="9" s="1"/>
  <c r="F18" i="9"/>
  <c r="G18" i="9" s="1"/>
  <c r="D17" i="9"/>
  <c r="B47" i="9" a="1"/>
  <c r="P22" i="4"/>
  <c r="B53" i="3" a="1"/>
  <c r="E19" i="3" a="1"/>
  <c r="E19" i="3" s="1"/>
  <c r="L10" i="3"/>
  <c r="F17" i="3"/>
  <c r="E20" i="9" l="1" a="1"/>
  <c r="E20" i="9" s="1"/>
  <c r="F20" i="9" s="1"/>
  <c r="G20" i="9" s="1"/>
  <c r="L10" i="9"/>
  <c r="E17" i="9" a="1"/>
  <c r="E17" i="9" s="1"/>
  <c r="F17" i="9" s="1"/>
  <c r="B47" i="9"/>
  <c r="B53" i="3"/>
  <c r="E20" i="3" a="1"/>
  <c r="E20" i="3" s="1"/>
  <c r="E21" i="9" l="1" a="1"/>
  <c r="E21" i="9" s="1"/>
  <c r="F21" i="9" s="1"/>
  <c r="G21" i="9" s="1"/>
  <c r="G17" i="9"/>
  <c r="B53" i="9" a="1"/>
  <c r="B59" i="3" a="1"/>
  <c r="E21" i="3" a="1"/>
  <c r="E21" i="3" s="1"/>
  <c r="F18" i="3"/>
  <c r="G17" i="3"/>
  <c r="E22" i="9" l="1" a="1"/>
  <c r="E22" i="9" s="1"/>
  <c r="F22" i="9" s="1"/>
  <c r="K10" i="9" s="1"/>
  <c r="B53" i="9"/>
  <c r="B59" i="3"/>
  <c r="E22" i="3" a="1"/>
  <c r="E22" i="3" s="1"/>
  <c r="G18" i="3"/>
  <c r="F19" i="3"/>
  <c r="F20" i="3"/>
  <c r="G22" i="9" l="1"/>
  <c r="M10" i="9"/>
  <c r="C23" i="9" a="1"/>
  <c r="D27" i="9" s="1"/>
  <c r="B59" i="9" a="1"/>
  <c r="B65" i="3" a="1"/>
  <c r="G19" i="3"/>
  <c r="D25" i="9" l="1"/>
  <c r="D28" i="9"/>
  <c r="D26" i="9"/>
  <c r="C23" i="9"/>
  <c r="D23" i="9" s="1"/>
  <c r="D24" i="9"/>
  <c r="E24" i="9" s="1" a="1"/>
  <c r="E24" i="9" s="1"/>
  <c r="F24" i="9" s="1"/>
  <c r="G24" i="9" s="1"/>
  <c r="B59" i="9"/>
  <c r="B65" i="3"/>
  <c r="F21" i="3"/>
  <c r="G20" i="3"/>
  <c r="E25" i="9" l="1" a="1"/>
  <c r="E25" i="9" s="1"/>
  <c r="F25" i="9" s="1"/>
  <c r="G25" i="9" s="1"/>
  <c r="L11" i="9"/>
  <c r="E23" i="9" a="1"/>
  <c r="E23" i="9" s="1"/>
  <c r="F23" i="9" s="1"/>
  <c r="G23" i="9" s="1"/>
  <c r="B65" i="9" a="1"/>
  <c r="B71" i="3" a="1"/>
  <c r="G21" i="3"/>
  <c r="F22" i="3"/>
  <c r="C23" i="3" s="1" a="1"/>
  <c r="E26" i="9" l="1" a="1"/>
  <c r="E26" i="9" s="1"/>
  <c r="F26" i="9" s="1"/>
  <c r="G26" i="9" s="1"/>
  <c r="B65" i="9"/>
  <c r="C23" i="3"/>
  <c r="D27" i="3"/>
  <c r="D24" i="3"/>
  <c r="D25" i="3"/>
  <c r="D26" i="3"/>
  <c r="D28" i="3"/>
  <c r="B71" i="3"/>
  <c r="K10" i="3"/>
  <c r="B11" i="5" s="1"/>
  <c r="G22" i="3"/>
  <c r="M10" i="3"/>
  <c r="E27" i="9" l="1" a="1"/>
  <c r="E27" i="9" s="1"/>
  <c r="F27" i="9" s="1"/>
  <c r="B71" i="9" a="1"/>
  <c r="B77" i="3" a="1"/>
  <c r="D23" i="3"/>
  <c r="E28" i="9" l="1" a="1"/>
  <c r="E28" i="9" s="1"/>
  <c r="F28" i="9" s="1"/>
  <c r="G28" i="9" s="1"/>
  <c r="L11" i="3"/>
  <c r="B71" i="9"/>
  <c r="G27" i="9"/>
  <c r="B77" i="3"/>
  <c r="E23" i="3" a="1"/>
  <c r="E23" i="3" s="1"/>
  <c r="F23" i="3" s="1"/>
  <c r="C29" i="9" l="1" a="1"/>
  <c r="D34" i="9" s="1"/>
  <c r="K11" i="9"/>
  <c r="M11" i="9"/>
  <c r="B77" i="9" a="1"/>
  <c r="G23" i="3"/>
  <c r="B83" i="3" a="1"/>
  <c r="E24" i="3" a="1"/>
  <c r="E24" i="3" s="1"/>
  <c r="F24" i="3" s="1"/>
  <c r="G24" i="3" s="1"/>
  <c r="D32" i="9" l="1"/>
  <c r="D31" i="9"/>
  <c r="D30" i="9"/>
  <c r="E30" i="9" s="1" a="1"/>
  <c r="E30" i="9" s="1"/>
  <c r="E31" i="9" s="1" a="1"/>
  <c r="E31" i="9" s="1"/>
  <c r="F31" i="9" s="1"/>
  <c r="G31" i="9" s="1"/>
  <c r="C29" i="9"/>
  <c r="D29" i="9" s="1"/>
  <c r="D33" i="9"/>
  <c r="B77" i="9"/>
  <c r="E25" i="3" a="1"/>
  <c r="E25" i="3" s="1"/>
  <c r="F25" i="3" s="1"/>
  <c r="G25" i="3" s="1"/>
  <c r="B83" i="3"/>
  <c r="L12" i="9" l="1"/>
  <c r="E29" i="9" a="1"/>
  <c r="E29" i="9" s="1"/>
  <c r="F29" i="9" s="1"/>
  <c r="B83" i="9" a="1"/>
  <c r="F30" i="9"/>
  <c r="G30" i="9" s="1"/>
  <c r="E32" i="9" a="1"/>
  <c r="E32" i="9" s="1"/>
  <c r="F32" i="9" s="1"/>
  <c r="G32" i="9" s="1"/>
  <c r="B89" i="3" a="1"/>
  <c r="E26" i="3" a="1"/>
  <c r="E26" i="3" s="1"/>
  <c r="E33" i="9" l="1" a="1"/>
  <c r="E33" i="9" s="1"/>
  <c r="F33" i="9" s="1"/>
  <c r="G33" i="9" s="1"/>
  <c r="G29" i="9"/>
  <c r="B83" i="9"/>
  <c r="B89" i="3"/>
  <c r="F26" i="3"/>
  <c r="E27" i="3" a="1"/>
  <c r="E27" i="3" s="1"/>
  <c r="E34" i="9" l="1" a="1"/>
  <c r="E34" i="9" s="1"/>
  <c r="F34" i="9" s="1"/>
  <c r="M12" i="9" s="1"/>
  <c r="B89" i="9" a="1"/>
  <c r="B95" i="3" a="1"/>
  <c r="F27" i="3"/>
  <c r="G27" i="3" s="1"/>
  <c r="E28" i="3" a="1"/>
  <c r="E28" i="3" s="1"/>
  <c r="F28" i="3" s="1"/>
  <c r="G28" i="3" s="1"/>
  <c r="G26" i="3"/>
  <c r="K12" i="9" l="1"/>
  <c r="C35" i="9" a="1"/>
  <c r="D39" i="9" s="1"/>
  <c r="G34" i="9"/>
  <c r="B89" i="9"/>
  <c r="C29" i="3" a="1"/>
  <c r="M11" i="3"/>
  <c r="B95" i="3"/>
  <c r="K11" i="3"/>
  <c r="B12" i="5" s="1"/>
  <c r="D37" i="9" l="1"/>
  <c r="D40" i="9"/>
  <c r="D36" i="9"/>
  <c r="E36" i="9" s="1" a="1"/>
  <c r="E36" i="9" s="1"/>
  <c r="D38" i="9"/>
  <c r="C35" i="9"/>
  <c r="D35" i="9" s="1"/>
  <c r="B95" i="9" a="1"/>
  <c r="B101" i="3" a="1"/>
  <c r="C29" i="3"/>
  <c r="D30" i="3"/>
  <c r="D31" i="3"/>
  <c r="D34" i="3"/>
  <c r="D33" i="3"/>
  <c r="D32" i="3"/>
  <c r="E37" i="9" l="1" a="1"/>
  <c r="E37" i="9" s="1"/>
  <c r="E38" i="9" s="1" a="1"/>
  <c r="E38" i="9" s="1"/>
  <c r="F38" i="9" s="1"/>
  <c r="G38" i="9" s="1"/>
  <c r="L13" i="9"/>
  <c r="F36" i="9"/>
  <c r="G36" i="9" s="1"/>
  <c r="E35" i="9" a="1"/>
  <c r="E35" i="9" s="1"/>
  <c r="F35" i="9" s="1"/>
  <c r="B95" i="9"/>
  <c r="D29" i="3"/>
  <c r="B101" i="3"/>
  <c r="F37" i="9" l="1"/>
  <c r="G37" i="9" s="1"/>
  <c r="L12" i="3"/>
  <c r="G35" i="9"/>
  <c r="E39" i="9" a="1"/>
  <c r="E39" i="9" s="1"/>
  <c r="B101" i="9" a="1"/>
  <c r="B107" i="3" a="1"/>
  <c r="E29" i="3" a="1"/>
  <c r="E29" i="3" s="1"/>
  <c r="F29" i="3" s="1"/>
  <c r="B101" i="9" l="1"/>
  <c r="F39" i="9"/>
  <c r="E40" i="9" a="1"/>
  <c r="E40" i="9" s="1"/>
  <c r="F40" i="9" s="1"/>
  <c r="G29" i="3"/>
  <c r="B107" i="3"/>
  <c r="E30" i="3" a="1"/>
  <c r="E30" i="3" s="1"/>
  <c r="F30" i="3" s="1"/>
  <c r="G30" i="3" s="1"/>
  <c r="B107" i="9" l="1" a="1"/>
  <c r="G39" i="9"/>
  <c r="C41" i="9" a="1"/>
  <c r="K13" i="9"/>
  <c r="G40" i="9"/>
  <c r="M13" i="9"/>
  <c r="B113" i="3" a="1"/>
  <c r="E31" i="3" a="1"/>
  <c r="E31" i="3" s="1"/>
  <c r="C41" i="9" l="1"/>
  <c r="D46" i="9"/>
  <c r="D45" i="9"/>
  <c r="D44" i="9"/>
  <c r="D43" i="9"/>
  <c r="D42" i="9"/>
  <c r="B107" i="9"/>
  <c r="B113" i="3"/>
  <c r="F31" i="3"/>
  <c r="E32" i="3" a="1"/>
  <c r="E32" i="3" s="1"/>
  <c r="E42" i="9" l="1" a="1"/>
  <c r="E42" i="9" s="1"/>
  <c r="E43" i="9" s="1" a="1"/>
  <c r="E43" i="9" s="1"/>
  <c r="F43" i="9" s="1"/>
  <c r="G43" i="9" s="1"/>
  <c r="B113" i="9" a="1"/>
  <c r="D41" i="9"/>
  <c r="L14" i="9" s="1"/>
  <c r="G31" i="3"/>
  <c r="F32" i="3"/>
  <c r="G32" i="3" s="1"/>
  <c r="E33" i="3" a="1"/>
  <c r="E33" i="3" s="1"/>
  <c r="B119" i="3" a="1"/>
  <c r="E41" i="9" l="1" a="1"/>
  <c r="E41" i="9" s="1"/>
  <c r="F41" i="9" s="1"/>
  <c r="E44" i="9" a="1"/>
  <c r="E44" i="9" s="1"/>
  <c r="F44" i="9" s="1"/>
  <c r="G44" i="9" s="1"/>
  <c r="B113" i="9"/>
  <c r="F42" i="9"/>
  <c r="G42" i="9" s="1"/>
  <c r="F33" i="3"/>
  <c r="G33" i="3" s="1"/>
  <c r="E34" i="3" a="1"/>
  <c r="E34" i="3" s="1"/>
  <c r="F34" i="3" s="1"/>
  <c r="B119" i="3"/>
  <c r="E45" i="9" l="1" a="1"/>
  <c r="E45" i="9" s="1"/>
  <c r="F45" i="9" s="1"/>
  <c r="G45" i="9" s="1"/>
  <c r="B119" i="9" a="1"/>
  <c r="G41" i="9"/>
  <c r="C35" i="3" a="1"/>
  <c r="C35" i="3" s="1"/>
  <c r="K12" i="3"/>
  <c r="B13" i="5" s="1"/>
  <c r="B125" i="3" a="1"/>
  <c r="G34" i="3"/>
  <c r="M12" i="3"/>
  <c r="E46" i="9" l="1" a="1"/>
  <c r="E46" i="9" s="1"/>
  <c r="F46" i="9" s="1"/>
  <c r="G46" i="9" s="1"/>
  <c r="B119" i="9"/>
  <c r="D36" i="3"/>
  <c r="D38" i="3"/>
  <c r="D40" i="3"/>
  <c r="D39" i="3"/>
  <c r="D37" i="3"/>
  <c r="D35" i="3"/>
  <c r="B125" i="3"/>
  <c r="C47" i="9" l="1" a="1"/>
  <c r="D50" i="9" s="1"/>
  <c r="K14" i="9"/>
  <c r="M14" i="9"/>
  <c r="B125" i="9" a="1"/>
  <c r="L13" i="3"/>
  <c r="B131" i="3" a="1"/>
  <c r="E35" i="3" a="1"/>
  <c r="E35" i="3" s="1"/>
  <c r="F35" i="3" s="1"/>
  <c r="D52" i="9" l="1"/>
  <c r="D51" i="9"/>
  <c r="D48" i="9"/>
  <c r="E48" i="9" s="1" a="1"/>
  <c r="E48" i="9" s="1"/>
  <c r="F48" i="9" s="1"/>
  <c r="G48" i="9" s="1"/>
  <c r="D49" i="9"/>
  <c r="C47" i="9"/>
  <c r="D47" i="9" s="1"/>
  <c r="B125" i="9"/>
  <c r="G35" i="3"/>
  <c r="B131" i="3"/>
  <c r="E36" i="3" a="1"/>
  <c r="E36" i="3" s="1"/>
  <c r="F36" i="3" s="1"/>
  <c r="G36" i="3" s="1"/>
  <c r="L15" i="9" l="1"/>
  <c r="E49" i="9" a="1"/>
  <c r="E49" i="9" s="1"/>
  <c r="E50" i="9" s="1" a="1"/>
  <c r="E50" i="9" s="1"/>
  <c r="F50" i="9" s="1"/>
  <c r="G50" i="9" s="1"/>
  <c r="E47" i="9" a="1"/>
  <c r="E47" i="9" s="1"/>
  <c r="F47" i="9" s="1"/>
  <c r="G47" i="9" s="1"/>
  <c r="B131" i="9" a="1"/>
  <c r="E37" i="3" a="1"/>
  <c r="E37" i="3" s="1"/>
  <c r="F37" i="3" s="1"/>
  <c r="G37" i="3" s="1"/>
  <c r="B137" i="3" a="1"/>
  <c r="E51" i="9" l="1" a="1"/>
  <c r="E51" i="9" s="1"/>
  <c r="F51" i="9" s="1"/>
  <c r="G51" i="9" s="1"/>
  <c r="F49" i="9"/>
  <c r="G49" i="9" s="1"/>
  <c r="B131" i="9"/>
  <c r="B137" i="3"/>
  <c r="E38" i="3" a="1"/>
  <c r="E38" i="3" s="1"/>
  <c r="E52" i="9" l="1" a="1"/>
  <c r="E52" i="9" s="1"/>
  <c r="F52" i="9" s="1"/>
  <c r="C53" i="9" s="1" a="1"/>
  <c r="C53" i="9" s="1"/>
  <c r="B137" i="9" a="1"/>
  <c r="F38" i="3"/>
  <c r="E39" i="3" a="1"/>
  <c r="E39" i="3" s="1"/>
  <c r="B143" i="3" a="1"/>
  <c r="D58" i="9" l="1"/>
  <c r="D55" i="9"/>
  <c r="D56" i="9"/>
  <c r="K15" i="9"/>
  <c r="D57" i="9"/>
  <c r="D54" i="9"/>
  <c r="E54" i="9" s="1" a="1"/>
  <c r="E54" i="9" s="1"/>
  <c r="M15" i="9"/>
  <c r="G52" i="9"/>
  <c r="B137" i="9"/>
  <c r="D53" i="9"/>
  <c r="F39" i="3"/>
  <c r="E40" i="3" a="1"/>
  <c r="E40" i="3" s="1"/>
  <c r="F40" i="3" s="1"/>
  <c r="B143" i="3"/>
  <c r="G38" i="3"/>
  <c r="E55" i="9" l="1" a="1"/>
  <c r="E55" i="9" s="1"/>
  <c r="E56" i="9" s="1" a="1"/>
  <c r="E56" i="9" s="1"/>
  <c r="F56" i="9" s="1"/>
  <c r="G56" i="9" s="1"/>
  <c r="F54" i="9"/>
  <c r="G54" i="9" s="1"/>
  <c r="L16" i="9"/>
  <c r="E53" i="9" a="1"/>
  <c r="E53" i="9" s="1"/>
  <c r="F53" i="9" s="1"/>
  <c r="B143" i="9" a="1"/>
  <c r="G40" i="3"/>
  <c r="M13" i="3"/>
  <c r="C41" i="3" a="1"/>
  <c r="B149" i="3" a="1"/>
  <c r="G39" i="3"/>
  <c r="K13" i="3"/>
  <c r="B14" i="5" s="1"/>
  <c r="F55" i="9" l="1"/>
  <c r="G55" i="9" s="1"/>
  <c r="E57" i="9" a="1"/>
  <c r="E57" i="9" s="1"/>
  <c r="F57" i="9" s="1"/>
  <c r="G57" i="9" s="1"/>
  <c r="B143" i="9"/>
  <c r="G53" i="9"/>
  <c r="B149" i="3"/>
  <c r="C41" i="3"/>
  <c r="D43" i="3"/>
  <c r="D44" i="3"/>
  <c r="D42" i="3"/>
  <c r="D45" i="3"/>
  <c r="D46" i="3"/>
  <c r="E58" i="9" l="1" a="1"/>
  <c r="E58" i="9" s="1"/>
  <c r="F58" i="9" s="1"/>
  <c r="C59" i="9" s="1" a="1"/>
  <c r="D63" i="9" s="1"/>
  <c r="B149" i="9" a="1"/>
  <c r="B155" i="3" a="1"/>
  <c r="D41" i="3"/>
  <c r="L14" i="3" s="1"/>
  <c r="D60" i="9" l="1"/>
  <c r="E60" i="9" s="1" a="1"/>
  <c r="E60" i="9" s="1"/>
  <c r="F60" i="9" s="1"/>
  <c r="G60" i="9" s="1"/>
  <c r="D62" i="9"/>
  <c r="D61" i="9"/>
  <c r="C59" i="9"/>
  <c r="D59" i="9" s="1"/>
  <c r="M16" i="9"/>
  <c r="D64" i="9"/>
  <c r="K16" i="9"/>
  <c r="G58" i="9"/>
  <c r="B149" i="9"/>
  <c r="E41" i="3" a="1"/>
  <c r="E41" i="3" s="1"/>
  <c r="F41" i="3" s="1"/>
  <c r="G41" i="3" s="1"/>
  <c r="B155" i="3"/>
  <c r="E61" i="9" l="1" a="1"/>
  <c r="E61" i="9" s="1"/>
  <c r="E62" i="9" s="1" a="1"/>
  <c r="E62" i="9" s="1"/>
  <c r="F62" i="9" s="1"/>
  <c r="G62" i="9" s="1"/>
  <c r="L17" i="9"/>
  <c r="B155" i="9" a="1"/>
  <c r="E59" i="9" a="1"/>
  <c r="E59" i="9" s="1"/>
  <c r="F59" i="9" s="1"/>
  <c r="E42" i="3" a="1"/>
  <c r="E42" i="3" s="1"/>
  <c r="F42" i="3" s="1"/>
  <c r="G42" i="3" s="1"/>
  <c r="B161" i="3" a="1"/>
  <c r="F61" i="9" l="1"/>
  <c r="G61" i="9" s="1"/>
  <c r="G59" i="9"/>
  <c r="B155" i="9"/>
  <c r="E63" i="9" a="1"/>
  <c r="E63" i="9" s="1"/>
  <c r="E43" i="3" a="1"/>
  <c r="E43" i="3" s="1"/>
  <c r="F43" i="3" s="1"/>
  <c r="G43" i="3" s="1"/>
  <c r="B161" i="3"/>
  <c r="F63" i="9" l="1"/>
  <c r="E64" i="9" a="1"/>
  <c r="E64" i="9" s="1"/>
  <c r="F64" i="9" s="1"/>
  <c r="B161" i="9" a="1"/>
  <c r="E44" i="3" a="1"/>
  <c r="E44" i="3" s="1"/>
  <c r="F44" i="3" s="1"/>
  <c r="G44" i="3" s="1"/>
  <c r="B167" i="3" a="1"/>
  <c r="B161" i="9" l="1"/>
  <c r="G64" i="9"/>
  <c r="M17" i="9"/>
  <c r="G63" i="9"/>
  <c r="K17" i="9"/>
  <c r="C65" i="9" a="1"/>
  <c r="E45" i="3" a="1"/>
  <c r="E45" i="3" s="1"/>
  <c r="F45" i="3" s="1"/>
  <c r="B167" i="3"/>
  <c r="C65" i="9" l="1"/>
  <c r="D67" i="9"/>
  <c r="D66" i="9"/>
  <c r="E66" i="9" s="1" a="1"/>
  <c r="E66" i="9" s="1"/>
  <c r="D69" i="9"/>
  <c r="D70" i="9"/>
  <c r="D68" i="9"/>
  <c r="B167" i="9" a="1"/>
  <c r="E46" i="3" a="1"/>
  <c r="E46" i="3" s="1"/>
  <c r="F46" i="3" s="1"/>
  <c r="G46" i="3" s="1"/>
  <c r="B173" i="3" a="1"/>
  <c r="G45" i="3"/>
  <c r="F66" i="9" l="1"/>
  <c r="G66" i="9" s="1"/>
  <c r="D65" i="9"/>
  <c r="L18" i="9" s="1"/>
  <c r="E67" i="9" a="1"/>
  <c r="E67" i="9" s="1"/>
  <c r="B167" i="9"/>
  <c r="K14" i="3"/>
  <c r="B15" i="5" s="1"/>
  <c r="C47" i="3" a="1"/>
  <c r="C47" i="3" s="1"/>
  <c r="M14" i="3"/>
  <c r="B173" i="3"/>
  <c r="E68" i="9" l="1" a="1"/>
  <c r="E68" i="9" s="1"/>
  <c r="F68" i="9" s="1"/>
  <c r="G68" i="9" s="1"/>
  <c r="B173" i="9" a="1"/>
  <c r="F67" i="9"/>
  <c r="G67" i="9" s="1"/>
  <c r="E65" i="9" a="1"/>
  <c r="E65" i="9" s="1"/>
  <c r="F65" i="9" s="1"/>
  <c r="D52" i="3"/>
  <c r="D49" i="3"/>
  <c r="D50" i="3"/>
  <c r="D51" i="3"/>
  <c r="D48" i="3"/>
  <c r="D47" i="3"/>
  <c r="B179" i="3" a="1"/>
  <c r="E69" i="9" l="1" a="1"/>
  <c r="E69" i="9" s="1"/>
  <c r="F69" i="9" s="1"/>
  <c r="G69" i="9" s="1"/>
  <c r="G65" i="9"/>
  <c r="B173" i="9"/>
  <c r="L15" i="3"/>
  <c r="B179" i="3"/>
  <c r="E47" i="3" a="1"/>
  <c r="E47" i="3" s="1"/>
  <c r="E70" i="9" l="1" a="1"/>
  <c r="E70" i="9" s="1"/>
  <c r="F70" i="9" s="1"/>
  <c r="C71" i="9" s="1" a="1"/>
  <c r="C71" i="9" s="1"/>
  <c r="B179" i="9" a="1"/>
  <c r="B185" i="3" a="1"/>
  <c r="F47" i="3"/>
  <c r="E48" i="3" a="1"/>
  <c r="E48" i="3" s="1"/>
  <c r="F48" i="3" s="1"/>
  <c r="G48" i="3" s="1"/>
  <c r="G70" i="9" l="1"/>
  <c r="D76" i="9"/>
  <c r="D74" i="9"/>
  <c r="D73" i="9"/>
  <c r="D75" i="9"/>
  <c r="K18" i="9"/>
  <c r="D72" i="9"/>
  <c r="M18" i="9"/>
  <c r="B179" i="9"/>
  <c r="D71" i="9"/>
  <c r="G47" i="3"/>
  <c r="E49" i="3" a="1"/>
  <c r="E49" i="3" s="1"/>
  <c r="F49" i="3" s="1"/>
  <c r="G49" i="3" s="1"/>
  <c r="B185" i="3"/>
  <c r="E72" i="9" l="1" a="1"/>
  <c r="E72" i="9" s="1"/>
  <c r="L19" i="9"/>
  <c r="B185" i="9" a="1"/>
  <c r="E71" i="9" a="1"/>
  <c r="E71" i="9" s="1"/>
  <c r="F71" i="9" s="1"/>
  <c r="B191" i="3" a="1"/>
  <c r="E50" i="3" a="1"/>
  <c r="E50" i="3" s="1"/>
  <c r="E73" i="9" l="1" a="1"/>
  <c r="E73" i="9" s="1"/>
  <c r="F73" i="9" s="1"/>
  <c r="G73" i="9" s="1"/>
  <c r="F72" i="9"/>
  <c r="G72" i="9" s="1"/>
  <c r="G71" i="9"/>
  <c r="B185" i="9"/>
  <c r="F50" i="3"/>
  <c r="E51" i="3" a="1"/>
  <c r="E51" i="3" s="1"/>
  <c r="B191" i="3"/>
  <c r="E74" i="9" l="1" a="1"/>
  <c r="E74" i="9" s="1"/>
  <c r="E75" i="9" s="1" a="1"/>
  <c r="E75" i="9" s="1"/>
  <c r="F75" i="9" s="1"/>
  <c r="G75" i="9" s="1"/>
  <c r="B191" i="9" a="1"/>
  <c r="F51" i="3"/>
  <c r="G51" i="3" s="1"/>
  <c r="E52" i="3" a="1"/>
  <c r="E52" i="3" s="1"/>
  <c r="F52" i="3" s="1"/>
  <c r="B197" i="3" a="1"/>
  <c r="G50" i="3"/>
  <c r="F74" i="9" l="1"/>
  <c r="E76" i="9" a="1"/>
  <c r="E76" i="9" s="1"/>
  <c r="F76" i="9" s="1"/>
  <c r="B191" i="9"/>
  <c r="K15" i="3"/>
  <c r="B16" i="5" s="1"/>
  <c r="B197" i="3"/>
  <c r="G52" i="3"/>
  <c r="M15" i="3"/>
  <c r="C53" i="3" a="1"/>
  <c r="G74" i="9" l="1"/>
  <c r="C77" i="9" a="1"/>
  <c r="K19" i="9"/>
  <c r="G76" i="9"/>
  <c r="M19" i="9"/>
  <c r="B197" i="9" a="1"/>
  <c r="B203" i="3" a="1"/>
  <c r="C53" i="3"/>
  <c r="D56" i="3"/>
  <c r="D55" i="3"/>
  <c r="D57" i="3"/>
  <c r="D54" i="3"/>
  <c r="D58" i="3"/>
  <c r="C77" i="9" l="1"/>
  <c r="D77" i="9" s="1"/>
  <c r="E77" i="9" s="1" a="1"/>
  <c r="E77" i="9" s="1"/>
  <c r="F77" i="9" s="1"/>
  <c r="D82" i="9"/>
  <c r="D80" i="9"/>
  <c r="D79" i="9"/>
  <c r="D81" i="9"/>
  <c r="D78" i="9"/>
  <c r="E78" i="9" s="1" a="1"/>
  <c r="E78" i="9" s="1"/>
  <c r="E79" i="9" s="1" a="1"/>
  <c r="E79" i="9" s="1"/>
  <c r="F79" i="9" s="1"/>
  <c r="G79" i="9" s="1"/>
  <c r="B197" i="9"/>
  <c r="D53" i="3"/>
  <c r="L16" i="3" s="1"/>
  <c r="B203" i="3"/>
  <c r="F78" i="9" l="1"/>
  <c r="G78" i="9" s="1"/>
  <c r="L20" i="9"/>
  <c r="G77" i="9"/>
  <c r="B203" i="9" a="1"/>
  <c r="E80" i="9" a="1"/>
  <c r="E80" i="9" s="1"/>
  <c r="F80" i="9" s="1"/>
  <c r="G80" i="9" s="1"/>
  <c r="E53" i="3" a="1"/>
  <c r="E53" i="3" s="1"/>
  <c r="F53" i="3" s="1"/>
  <c r="B209" i="3" a="1"/>
  <c r="B203" i="9" l="1"/>
  <c r="E81" i="9" a="1"/>
  <c r="E81" i="9" s="1"/>
  <c r="G53" i="3"/>
  <c r="B209" i="3"/>
  <c r="E54" i="3" a="1"/>
  <c r="E54" i="3" s="1"/>
  <c r="F54" i="3" s="1"/>
  <c r="G54" i="3" s="1"/>
  <c r="F81" i="9" l="1"/>
  <c r="E82" i="9" a="1"/>
  <c r="E82" i="9" s="1"/>
  <c r="F82" i="9" s="1"/>
  <c r="B209" i="9" a="1"/>
  <c r="B215" i="3" a="1"/>
  <c r="E55" i="3" a="1"/>
  <c r="E55" i="3" s="1"/>
  <c r="G82" i="9" l="1"/>
  <c r="M20" i="9"/>
  <c r="B209" i="9"/>
  <c r="G81" i="9"/>
  <c r="K20" i="9"/>
  <c r="C83" i="9" a="1"/>
  <c r="F55" i="3"/>
  <c r="E56" i="3" a="1"/>
  <c r="E56" i="3" s="1"/>
  <c r="F56" i="3" s="1"/>
  <c r="G56" i="3" s="1"/>
  <c r="B215" i="3"/>
  <c r="B215" i="9" l="1" a="1"/>
  <c r="C83" i="9"/>
  <c r="D85" i="9"/>
  <c r="D88" i="9"/>
  <c r="D87" i="9"/>
  <c r="D86" i="9"/>
  <c r="D84" i="9"/>
  <c r="E84" i="9" s="1" a="1"/>
  <c r="E84" i="9" s="1"/>
  <c r="E57" i="3" a="1"/>
  <c r="E57" i="3" s="1"/>
  <c r="F57" i="3" s="1"/>
  <c r="G57" i="3" s="1"/>
  <c r="B221" i="3" a="1"/>
  <c r="G55" i="3"/>
  <c r="F84" i="9" l="1"/>
  <c r="G84" i="9" s="1"/>
  <c r="E85" i="9" a="1"/>
  <c r="E85" i="9" s="1"/>
  <c r="E86" i="9" s="1" a="1"/>
  <c r="E86" i="9" s="1"/>
  <c r="F86" i="9" s="1"/>
  <c r="G86" i="9" s="1"/>
  <c r="D83" i="9"/>
  <c r="L21" i="9" s="1"/>
  <c r="B215" i="9"/>
  <c r="E58" i="3" a="1"/>
  <c r="E58" i="3" s="1"/>
  <c r="F58" i="3" s="1"/>
  <c r="C59" i="3" s="1" a="1"/>
  <c r="C59" i="3" s="1"/>
  <c r="B221" i="3"/>
  <c r="F85" i="9" l="1"/>
  <c r="G85" i="9" s="1"/>
  <c r="B221" i="9" a="1"/>
  <c r="E83" i="9" a="1"/>
  <c r="E83" i="9" s="1"/>
  <c r="F83" i="9" s="1"/>
  <c r="E87" i="9" a="1"/>
  <c r="E87" i="9" s="1"/>
  <c r="F87" i="9" s="1"/>
  <c r="G87" i="9" s="1"/>
  <c r="K16" i="3"/>
  <c r="B17" i="5" s="1"/>
  <c r="D60" i="3"/>
  <c r="D61" i="3"/>
  <c r="M16" i="3"/>
  <c r="D63" i="3"/>
  <c r="D64" i="3"/>
  <c r="D62" i="3"/>
  <c r="G58" i="3"/>
  <c r="B227" i="3" a="1"/>
  <c r="D59" i="3"/>
  <c r="G83" i="9" l="1"/>
  <c r="E88" i="9" a="1"/>
  <c r="E88" i="9" s="1"/>
  <c r="F88" i="9" s="1"/>
  <c r="K21" i="9" s="1"/>
  <c r="B221" i="9"/>
  <c r="L17" i="3"/>
  <c r="B227" i="3"/>
  <c r="E59" i="3" a="1"/>
  <c r="E59" i="3" s="1"/>
  <c r="B227" i="9" l="1" a="1"/>
  <c r="G88" i="9"/>
  <c r="M21" i="9"/>
  <c r="C89" i="9" a="1"/>
  <c r="B233" i="3" a="1"/>
  <c r="E60" i="3" a="1"/>
  <c r="E60" i="3" s="1"/>
  <c r="F60" i="3" s="1"/>
  <c r="G60" i="3" s="1"/>
  <c r="F59" i="3"/>
  <c r="B227" i="9" l="1"/>
  <c r="C89" i="9"/>
  <c r="D93" i="9"/>
  <c r="D90" i="9"/>
  <c r="E90" i="9" s="1" a="1"/>
  <c r="E90" i="9" s="1"/>
  <c r="F90" i="9" s="1"/>
  <c r="G90" i="9" s="1"/>
  <c r="D92" i="9"/>
  <c r="D91" i="9"/>
  <c r="D94" i="9"/>
  <c r="E61" i="3" a="1"/>
  <c r="E61" i="3" s="1"/>
  <c r="F61" i="3" s="1"/>
  <c r="G61" i="3" s="1"/>
  <c r="B233" i="3"/>
  <c r="G59" i="3"/>
  <c r="E91" i="9" l="1" a="1"/>
  <c r="E91" i="9" s="1"/>
  <c r="F91" i="9" s="1"/>
  <c r="G91" i="9" s="1"/>
  <c r="D89" i="9"/>
  <c r="L22" i="9" s="1"/>
  <c r="B233" i="9" a="1"/>
  <c r="B239" i="3" a="1"/>
  <c r="E62" i="3" a="1"/>
  <c r="E62" i="3" s="1"/>
  <c r="E92" i="9" l="1" a="1"/>
  <c r="E92" i="9" s="1"/>
  <c r="E93" i="9" s="1" a="1"/>
  <c r="E93" i="9" s="1"/>
  <c r="F93" i="9" s="1"/>
  <c r="G93" i="9" s="1"/>
  <c r="B233" i="9"/>
  <c r="E89" i="9" a="1"/>
  <c r="E89" i="9" s="1"/>
  <c r="F89" i="9" s="1"/>
  <c r="F62" i="3"/>
  <c r="E63" i="3" a="1"/>
  <c r="E63" i="3" s="1"/>
  <c r="B239" i="3"/>
  <c r="F92" i="9" l="1"/>
  <c r="G92" i="9" s="1"/>
  <c r="G89" i="9"/>
  <c r="B239" i="9" a="1"/>
  <c r="E94" i="9" a="1"/>
  <c r="E94" i="9" s="1"/>
  <c r="F94" i="9" s="1"/>
  <c r="B245" i="3" a="1"/>
  <c r="G62" i="3"/>
  <c r="F63" i="3"/>
  <c r="G63" i="3" s="1"/>
  <c r="E64" i="3" a="1"/>
  <c r="E64" i="3" s="1"/>
  <c r="F64" i="3" s="1"/>
  <c r="G94" i="9" l="1"/>
  <c r="M22" i="9"/>
  <c r="B239" i="9"/>
  <c r="C95" i="9" a="1"/>
  <c r="K22" i="9"/>
  <c r="K17" i="3"/>
  <c r="B18" i="5" s="1"/>
  <c r="G64" i="3"/>
  <c r="M17" i="3"/>
  <c r="C65" i="3" a="1"/>
  <c r="B245" i="3"/>
  <c r="B245" i="9" l="1" a="1"/>
  <c r="C95" i="9"/>
  <c r="D99" i="9"/>
  <c r="D100" i="9"/>
  <c r="D98" i="9"/>
  <c r="D97" i="9"/>
  <c r="D96" i="9"/>
  <c r="E96" i="9" s="1" a="1"/>
  <c r="E96" i="9" s="1"/>
  <c r="C65" i="3"/>
  <c r="D70" i="3"/>
  <c r="D69" i="3"/>
  <c r="D67" i="3"/>
  <c r="D68" i="3"/>
  <c r="D66" i="3"/>
  <c r="B251" i="3" a="1"/>
  <c r="E97" i="9" l="1" a="1"/>
  <c r="E97" i="9" s="1"/>
  <c r="F97" i="9" s="1"/>
  <c r="G97" i="9" s="1"/>
  <c r="D95" i="9"/>
  <c r="L23" i="9" s="1"/>
  <c r="F96" i="9"/>
  <c r="G96" i="9" s="1"/>
  <c r="B245" i="9"/>
  <c r="D65" i="3"/>
  <c r="L18" i="3" s="1"/>
  <c r="B251" i="3"/>
  <c r="E95" i="9" l="1" a="1"/>
  <c r="E95" i="9" s="1"/>
  <c r="F95" i="9" s="1"/>
  <c r="G95" i="9" s="1"/>
  <c r="B251" i="9" a="1"/>
  <c r="E98" i="9" a="1"/>
  <c r="E98" i="9" s="1"/>
  <c r="E99" i="9" s="1" a="1"/>
  <c r="E99" i="9" s="1"/>
  <c r="F99" i="9" s="1"/>
  <c r="G99" i="9" s="1"/>
  <c r="B257" i="3" a="1"/>
  <c r="E65" i="3" a="1"/>
  <c r="E65" i="3" s="1"/>
  <c r="B251" i="9" l="1"/>
  <c r="F98" i="9"/>
  <c r="E100" i="9" a="1"/>
  <c r="E100" i="9" s="1"/>
  <c r="F100" i="9" s="1"/>
  <c r="E66" i="3" a="1"/>
  <c r="E66" i="3" s="1"/>
  <c r="F66" i="3" s="1"/>
  <c r="G66" i="3" s="1"/>
  <c r="F65" i="3"/>
  <c r="B257" i="3"/>
  <c r="M23" i="9" l="1"/>
  <c r="G100" i="9"/>
  <c r="G98" i="9"/>
  <c r="C101" i="9" a="1"/>
  <c r="K23" i="9"/>
  <c r="B257" i="9" a="1"/>
  <c r="B263" i="3" a="1"/>
  <c r="G65" i="3"/>
  <c r="E67" i="3" a="1"/>
  <c r="E67" i="3" s="1"/>
  <c r="F67" i="3" s="1"/>
  <c r="G67" i="3" s="1"/>
  <c r="B257" i="9" l="1"/>
  <c r="C101" i="9"/>
  <c r="D103" i="9"/>
  <c r="D104" i="9"/>
  <c r="D102" i="9"/>
  <c r="D105" i="9"/>
  <c r="D106" i="9"/>
  <c r="E68" i="3" a="1"/>
  <c r="E68" i="3" s="1"/>
  <c r="B263" i="3"/>
  <c r="E102" i="9" l="1" a="1"/>
  <c r="E102" i="9" s="1"/>
  <c r="F102" i="9" s="1"/>
  <c r="G102" i="9" s="1"/>
  <c r="B263" i="9" a="1"/>
  <c r="D101" i="9"/>
  <c r="L24" i="9" s="1"/>
  <c r="B269" i="3" a="1"/>
  <c r="F68" i="3"/>
  <c r="E69" i="3" a="1"/>
  <c r="E69" i="3" s="1"/>
  <c r="E101" i="9" l="1" a="1"/>
  <c r="E101" i="9" s="1"/>
  <c r="F101" i="9" s="1"/>
  <c r="E103" i="9" a="1"/>
  <c r="E103" i="9" s="1"/>
  <c r="F103" i="9" s="1"/>
  <c r="G103" i="9" s="1"/>
  <c r="B263" i="9"/>
  <c r="G68" i="3"/>
  <c r="B269" i="3"/>
  <c r="F69" i="3"/>
  <c r="G69" i="3" s="1"/>
  <c r="E70" i="3" a="1"/>
  <c r="E70" i="3" s="1"/>
  <c r="F70" i="3" s="1"/>
  <c r="E104" i="9" l="1" a="1"/>
  <c r="E104" i="9" s="1"/>
  <c r="F104" i="9" s="1"/>
  <c r="G104" i="9" s="1"/>
  <c r="B269" i="9" a="1"/>
  <c r="G101" i="9"/>
  <c r="B275" i="3" a="1"/>
  <c r="K18" i="3"/>
  <c r="B19" i="5" s="1"/>
  <c r="G70" i="3"/>
  <c r="M18" i="3"/>
  <c r="C71" i="3" a="1"/>
  <c r="E105" i="9" l="1" a="1"/>
  <c r="E105" i="9" s="1"/>
  <c r="F105" i="9" s="1"/>
  <c r="G105" i="9" s="1"/>
  <c r="B269" i="9"/>
  <c r="C71" i="3"/>
  <c r="D74" i="3"/>
  <c r="D73" i="3"/>
  <c r="D75" i="3"/>
  <c r="D72" i="3"/>
  <c r="D76" i="3"/>
  <c r="B275" i="3"/>
  <c r="E106" i="9" l="1" a="1"/>
  <c r="E106" i="9" s="1"/>
  <c r="F106" i="9" s="1"/>
  <c r="C107" i="9" s="1" a="1"/>
  <c r="B275" i="9" a="1"/>
  <c r="B281" i="3" a="1"/>
  <c r="D71" i="3"/>
  <c r="L19" i="3" s="1"/>
  <c r="D112" i="9" l="1"/>
  <c r="D111" i="9"/>
  <c r="D108" i="9"/>
  <c r="E108" i="9" s="1" a="1"/>
  <c r="E108" i="9" s="1"/>
  <c r="F108" i="9" s="1"/>
  <c r="G108" i="9" s="1"/>
  <c r="C107" i="9"/>
  <c r="D107" i="9" s="1"/>
  <c r="D109" i="9"/>
  <c r="D110" i="9"/>
  <c r="G106" i="9"/>
  <c r="M24" i="9"/>
  <c r="K24" i="9"/>
  <c r="B275" i="9"/>
  <c r="B281" i="3"/>
  <c r="E71" i="3" a="1"/>
  <c r="E71" i="3" s="1"/>
  <c r="F71" i="3" s="1"/>
  <c r="L25" i="9" l="1"/>
  <c r="E109" i="9" a="1"/>
  <c r="E109" i="9" s="1"/>
  <c r="F109" i="9" s="1"/>
  <c r="G109" i="9" s="1"/>
  <c r="E107" i="9" a="1"/>
  <c r="E107" i="9" s="1"/>
  <c r="F107" i="9" s="1"/>
  <c r="B281" i="9" a="1"/>
  <c r="G71" i="3"/>
  <c r="B287" i="3" a="1"/>
  <c r="E72" i="3" a="1"/>
  <c r="E72" i="3" s="1"/>
  <c r="F72" i="3" s="1"/>
  <c r="G72" i="3" s="1"/>
  <c r="E110" i="9" l="1" a="1"/>
  <c r="E110" i="9" s="1"/>
  <c r="F110" i="9" s="1"/>
  <c r="G110" i="9" s="1"/>
  <c r="G107" i="9"/>
  <c r="B281" i="9"/>
  <c r="E73" i="3" a="1"/>
  <c r="E73" i="3" s="1"/>
  <c r="B287" i="3"/>
  <c r="E111" i="9" l="1" a="1"/>
  <c r="E111" i="9" s="1"/>
  <c r="F111" i="9" s="1"/>
  <c r="B287" i="9" a="1"/>
  <c r="B293" i="3" a="1"/>
  <c r="F73" i="3"/>
  <c r="E74" i="3" a="1"/>
  <c r="E74" i="3" s="1"/>
  <c r="E112" i="9" l="1" a="1"/>
  <c r="E112" i="9" s="1"/>
  <c r="F112" i="9" s="1"/>
  <c r="G112" i="9" s="1"/>
  <c r="B287" i="9"/>
  <c r="G111" i="9"/>
  <c r="G73" i="3"/>
  <c r="F74" i="3"/>
  <c r="G74" i="3" s="1"/>
  <c r="E75" i="3" a="1"/>
  <c r="E75" i="3" s="1"/>
  <c r="B293" i="3"/>
  <c r="K25" i="9" l="1"/>
  <c r="C113" i="9" a="1"/>
  <c r="C113" i="9" s="1"/>
  <c r="M25" i="9"/>
  <c r="B293" i="9" a="1"/>
  <c r="B299" i="3" a="1"/>
  <c r="F75" i="3"/>
  <c r="G75" i="3" s="1"/>
  <c r="E76" i="3" a="1"/>
  <c r="E76" i="3" s="1"/>
  <c r="F76" i="3" s="1"/>
  <c r="K19" i="3" s="1"/>
  <c r="B20" i="5" s="1"/>
  <c r="D117" i="9" l="1"/>
  <c r="D114" i="9"/>
  <c r="E114" i="9" s="1" a="1"/>
  <c r="E114" i="9" s="1"/>
  <c r="F114" i="9" s="1"/>
  <c r="G114" i="9" s="1"/>
  <c r="D118" i="9"/>
  <c r="D116" i="9"/>
  <c r="D115" i="9"/>
  <c r="D113" i="9"/>
  <c r="B293" i="9"/>
  <c r="B299" i="3"/>
  <c r="C77" i="3" a="1"/>
  <c r="G76" i="3"/>
  <c r="M19" i="3"/>
  <c r="L26" i="9" l="1"/>
  <c r="E115" i="9" a="1"/>
  <c r="E115" i="9" s="1"/>
  <c r="E116" i="9" s="1" a="1"/>
  <c r="E116" i="9" s="1"/>
  <c r="F116" i="9" s="1"/>
  <c r="G116" i="9" s="1"/>
  <c r="E113" i="9" a="1"/>
  <c r="E113" i="9" s="1"/>
  <c r="F113" i="9" s="1"/>
  <c r="B299" i="9" a="1"/>
  <c r="C77" i="3"/>
  <c r="D82" i="3"/>
  <c r="D79" i="3"/>
  <c r="D78" i="3"/>
  <c r="D81" i="3"/>
  <c r="D80" i="3"/>
  <c r="B305" i="3" a="1"/>
  <c r="F115" i="9" l="1"/>
  <c r="G115" i="9" s="1"/>
  <c r="E117" i="9" a="1"/>
  <c r="E117" i="9" s="1"/>
  <c r="F117" i="9" s="1"/>
  <c r="G117" i="9" s="1"/>
  <c r="G113" i="9"/>
  <c r="B299" i="9"/>
  <c r="D77" i="3"/>
  <c r="L20" i="3" s="1"/>
  <c r="B305" i="3"/>
  <c r="E118" i="9" l="1" a="1"/>
  <c r="E118" i="9" s="1"/>
  <c r="F118" i="9" s="1"/>
  <c r="C119" i="9" s="1" a="1"/>
  <c r="D123" i="9" s="1"/>
  <c r="B305" i="9" a="1"/>
  <c r="E77" i="3" a="1"/>
  <c r="E77" i="3" s="1"/>
  <c r="B311" i="3" a="1"/>
  <c r="D120" i="9" l="1"/>
  <c r="E120" i="9" s="1" a="1"/>
  <c r="E120" i="9" s="1"/>
  <c r="F120" i="9" s="1"/>
  <c r="G120" i="9" s="1"/>
  <c r="C119" i="9"/>
  <c r="D119" i="9" s="1"/>
  <c r="D121" i="9"/>
  <c r="K26" i="9"/>
  <c r="D122" i="9"/>
  <c r="G118" i="9"/>
  <c r="D124" i="9"/>
  <c r="M26" i="9"/>
  <c r="B305" i="9"/>
  <c r="B311" i="3"/>
  <c r="E78" i="3" a="1"/>
  <c r="E78" i="3" s="1"/>
  <c r="F78" i="3" s="1"/>
  <c r="G78" i="3" s="1"/>
  <c r="F77" i="3"/>
  <c r="L27" i="9" l="1"/>
  <c r="E121" i="9" a="1"/>
  <c r="E121" i="9" s="1"/>
  <c r="F121" i="9" s="1"/>
  <c r="G121" i="9" s="1"/>
  <c r="B311" i="9" a="1"/>
  <c r="E119" i="9" a="1"/>
  <c r="E119" i="9" s="1"/>
  <c r="F119" i="9" s="1"/>
  <c r="E79" i="3" a="1"/>
  <c r="E79" i="3" s="1"/>
  <c r="F79" i="3" s="1"/>
  <c r="G79" i="3" s="1"/>
  <c r="B317" i="3" a="1"/>
  <c r="G77" i="3"/>
  <c r="E122" i="9" l="1" a="1"/>
  <c r="E122" i="9" s="1"/>
  <c r="F122" i="9" s="1"/>
  <c r="G122" i="9" s="1"/>
  <c r="G119" i="9"/>
  <c r="B311" i="9"/>
  <c r="B317" i="3"/>
  <c r="E80" i="3" a="1"/>
  <c r="E80" i="3" s="1"/>
  <c r="E123" i="9" l="1" a="1"/>
  <c r="E123" i="9" s="1"/>
  <c r="F123" i="9" s="1"/>
  <c r="G123" i="9" s="1"/>
  <c r="B317" i="9" a="1"/>
  <c r="B323" i="3" a="1"/>
  <c r="F80" i="3"/>
  <c r="E81" i="3" a="1"/>
  <c r="E81" i="3" s="1"/>
  <c r="E124" i="9" l="1" a="1"/>
  <c r="E124" i="9" s="1"/>
  <c r="F124" i="9" s="1"/>
  <c r="B317" i="9"/>
  <c r="F81" i="3"/>
  <c r="G81" i="3" s="1"/>
  <c r="E82" i="3" a="1"/>
  <c r="E82" i="3" s="1"/>
  <c r="F82" i="3" s="1"/>
  <c r="B323" i="3"/>
  <c r="G80" i="3"/>
  <c r="M27" i="9" l="1"/>
  <c r="G124" i="9"/>
  <c r="K27" i="9"/>
  <c r="C125" i="9" a="1"/>
  <c r="B323" i="9" a="1"/>
  <c r="C83" i="3" a="1"/>
  <c r="C83" i="3" s="1"/>
  <c r="K20" i="3"/>
  <c r="B21" i="5" s="1"/>
  <c r="B329" i="3" a="1"/>
  <c r="G82" i="3"/>
  <c r="M20" i="3"/>
  <c r="D126" i="9" l="1"/>
  <c r="E126" i="9" s="1" a="1"/>
  <c r="E126" i="9" s="1"/>
  <c r="C125" i="9"/>
  <c r="D125" i="9" s="1"/>
  <c r="E125" i="9" s="1" a="1"/>
  <c r="E125" i="9" s="1"/>
  <c r="F125" i="9" s="1"/>
  <c r="D129" i="9"/>
  <c r="D130" i="9"/>
  <c r="D128" i="9"/>
  <c r="D127" i="9"/>
  <c r="B323" i="9"/>
  <c r="D87" i="3"/>
  <c r="D85" i="3"/>
  <c r="D84" i="3"/>
  <c r="D88" i="3"/>
  <c r="D86" i="3"/>
  <c r="B329" i="3"/>
  <c r="D83" i="3"/>
  <c r="E127" i="9" l="1" a="1"/>
  <c r="E127" i="9" s="1"/>
  <c r="F127" i="9" s="1"/>
  <c r="G127" i="9" s="1"/>
  <c r="F126" i="9"/>
  <c r="G126" i="9" s="1"/>
  <c r="L28" i="9"/>
  <c r="G125" i="9"/>
  <c r="B329" i="9" a="1"/>
  <c r="L21" i="3"/>
  <c r="B335" i="3" a="1"/>
  <c r="E83" i="3" a="1"/>
  <c r="E83" i="3" s="1"/>
  <c r="F83" i="3" s="1"/>
  <c r="E128" i="9" l="1" a="1"/>
  <c r="E128" i="9" s="1"/>
  <c r="F128" i="9" s="1"/>
  <c r="G128" i="9" s="1"/>
  <c r="B329" i="9"/>
  <c r="G83" i="3"/>
  <c r="B335" i="3"/>
  <c r="E84" i="3" a="1"/>
  <c r="E84" i="3" s="1"/>
  <c r="F84" i="3" s="1"/>
  <c r="G84" i="3" s="1"/>
  <c r="E129" i="9" l="1" a="1"/>
  <c r="E129" i="9" s="1"/>
  <c r="F129" i="9" s="1"/>
  <c r="G129" i="9" s="1"/>
  <c r="B335" i="9" a="1"/>
  <c r="E85" i="3" a="1"/>
  <c r="E85" i="3" s="1"/>
  <c r="B341" i="3" a="1"/>
  <c r="E130" i="9" l="1" a="1"/>
  <c r="E130" i="9" s="1"/>
  <c r="F130" i="9" s="1"/>
  <c r="G130" i="9" s="1"/>
  <c r="B335" i="9"/>
  <c r="B341" i="3"/>
  <c r="F85" i="3"/>
  <c r="E86" i="3" a="1"/>
  <c r="E86" i="3" s="1"/>
  <c r="C131" i="9" l="1" a="1"/>
  <c r="C131" i="9" s="1"/>
  <c r="D131" i="9" s="1"/>
  <c r="M28" i="9"/>
  <c r="K28" i="9"/>
  <c r="B341" i="9" a="1"/>
  <c r="F86" i="3"/>
  <c r="G86" i="3" s="1"/>
  <c r="E87" i="3" a="1"/>
  <c r="E87" i="3" s="1"/>
  <c r="B347" i="3" a="1"/>
  <c r="G85" i="3"/>
  <c r="D132" i="9" l="1"/>
  <c r="E132" i="9" s="1" a="1"/>
  <c r="E132" i="9" s="1"/>
  <c r="D133" i="9"/>
  <c r="D134" i="9"/>
  <c r="D136" i="9"/>
  <c r="D135" i="9"/>
  <c r="E131" i="9" a="1"/>
  <c r="E131" i="9" s="1"/>
  <c r="F131" i="9" s="1"/>
  <c r="B341" i="9"/>
  <c r="B347" i="3"/>
  <c r="F87" i="3"/>
  <c r="E88" i="3" a="1"/>
  <c r="E88" i="3" s="1"/>
  <c r="F88" i="3" s="1"/>
  <c r="E133" i="9" l="1" a="1"/>
  <c r="E133" i="9" s="1"/>
  <c r="F133" i="9" s="1"/>
  <c r="G133" i="9" s="1"/>
  <c r="F132" i="9"/>
  <c r="G132" i="9" s="1"/>
  <c r="L29" i="9"/>
  <c r="G131" i="9"/>
  <c r="B347" i="9" a="1"/>
  <c r="G87" i="3"/>
  <c r="C89" i="3" a="1"/>
  <c r="K21" i="3"/>
  <c r="B22" i="5" s="1"/>
  <c r="B353" i="3" a="1"/>
  <c r="G88" i="3"/>
  <c r="M21" i="3"/>
  <c r="E134" i="9" l="1" a="1"/>
  <c r="E134" i="9" s="1"/>
  <c r="F134" i="9" s="1"/>
  <c r="G134" i="9" s="1"/>
  <c r="B347" i="9"/>
  <c r="B353" i="3"/>
  <c r="C89" i="3"/>
  <c r="D94" i="3"/>
  <c r="D90" i="3"/>
  <c r="D92" i="3"/>
  <c r="D93" i="3"/>
  <c r="D91" i="3"/>
  <c r="E135" i="9" l="1" a="1"/>
  <c r="E135" i="9" s="1"/>
  <c r="F135" i="9" s="1"/>
  <c r="G135" i="9" s="1"/>
  <c r="B353" i="9" a="1"/>
  <c r="B359" i="3" a="1"/>
  <c r="D89" i="3"/>
  <c r="L22" i="3" s="1"/>
  <c r="E136" i="9" l="1" a="1"/>
  <c r="E136" i="9" s="1"/>
  <c r="F136" i="9" s="1"/>
  <c r="G136" i="9" s="1"/>
  <c r="B353" i="9"/>
  <c r="B359" i="3"/>
  <c r="E89" i="3" a="1"/>
  <c r="E89" i="3" s="1"/>
  <c r="F89" i="3" s="1"/>
  <c r="K29" i="9" l="1"/>
  <c r="C137" i="9" a="1"/>
  <c r="C137" i="9" s="1"/>
  <c r="D137" i="9" s="1"/>
  <c r="M29" i="9"/>
  <c r="B359" i="9" a="1"/>
  <c r="G89" i="3"/>
  <c r="B365" i="3" a="1"/>
  <c r="E90" i="3" a="1"/>
  <c r="E90" i="3" s="1"/>
  <c r="F90" i="3" s="1"/>
  <c r="G90" i="3" s="1"/>
  <c r="D141" i="9" l="1"/>
  <c r="D138" i="9"/>
  <c r="E138" i="9" s="1" a="1"/>
  <c r="E138" i="9" s="1"/>
  <c r="F138" i="9" s="1"/>
  <c r="G138" i="9" s="1"/>
  <c r="D139" i="9"/>
  <c r="D142" i="9"/>
  <c r="D140" i="9"/>
  <c r="E137" i="9" a="1"/>
  <c r="E137" i="9" s="1"/>
  <c r="F137" i="9" s="1"/>
  <c r="G137" i="9" s="1"/>
  <c r="B359" i="9"/>
  <c r="E91" i="3" a="1"/>
  <c r="E91" i="3" s="1"/>
  <c r="B365" i="3"/>
  <c r="L30" i="9" l="1"/>
  <c r="E139" i="9" a="1"/>
  <c r="E139" i="9" s="1"/>
  <c r="F139" i="9" s="1"/>
  <c r="G139" i="9" s="1"/>
  <c r="B365" i="9" a="1"/>
  <c r="B371" i="3" a="1"/>
  <c r="F91" i="3"/>
  <c r="E92" i="3" a="1"/>
  <c r="E92" i="3" s="1"/>
  <c r="E140" i="9" l="1" a="1"/>
  <c r="E140" i="9" s="1"/>
  <c r="F140" i="9" s="1"/>
  <c r="G140" i="9" s="1"/>
  <c r="B365" i="9"/>
  <c r="F92" i="3"/>
  <c r="G92" i="3" s="1"/>
  <c r="E93" i="3" a="1"/>
  <c r="E93" i="3" s="1"/>
  <c r="B371" i="3"/>
  <c r="G91" i="3"/>
  <c r="E141" i="9" l="1" a="1"/>
  <c r="E141" i="9" s="1"/>
  <c r="F141" i="9" s="1"/>
  <c r="G141" i="9" s="1"/>
  <c r="B371" i="9" a="1"/>
  <c r="B377" i="3" a="1"/>
  <c r="F93" i="3"/>
  <c r="E94" i="3" a="1"/>
  <c r="E94" i="3" s="1"/>
  <c r="F94" i="3" s="1"/>
  <c r="E142" i="9" l="1" a="1"/>
  <c r="E142" i="9" s="1"/>
  <c r="F142" i="9" s="1"/>
  <c r="G142" i="9" s="1"/>
  <c r="B371" i="9"/>
  <c r="G94" i="3"/>
  <c r="M22" i="3"/>
  <c r="G93" i="3"/>
  <c r="K22" i="3"/>
  <c r="B23" i="5" s="1"/>
  <c r="C95" i="3" a="1"/>
  <c r="B377" i="3"/>
  <c r="C143" i="9" l="1" a="1"/>
  <c r="K30" i="9"/>
  <c r="M30" i="9"/>
  <c r="D148" i="9"/>
  <c r="C143" i="9"/>
  <c r="D145" i="9"/>
  <c r="D146" i="9"/>
  <c r="D147" i="9"/>
  <c r="D144" i="9"/>
  <c r="E144" i="9" s="1" a="1"/>
  <c r="E144" i="9" s="1"/>
  <c r="B377" i="9" a="1"/>
  <c r="B383" i="3" a="1"/>
  <c r="C95" i="3"/>
  <c r="D99" i="3"/>
  <c r="D97" i="3"/>
  <c r="D98" i="3"/>
  <c r="D100" i="3"/>
  <c r="D96" i="3"/>
  <c r="F144" i="9" l="1"/>
  <c r="G144" i="9" s="1"/>
  <c r="E145" i="9" a="1"/>
  <c r="E145" i="9" s="1"/>
  <c r="E146" i="9" s="1" a="1"/>
  <c r="E146" i="9" s="1"/>
  <c r="F146" i="9" s="1"/>
  <c r="G146" i="9" s="1"/>
  <c r="D143" i="9"/>
  <c r="L31" i="9" s="1"/>
  <c r="B377" i="9"/>
  <c r="D95" i="3"/>
  <c r="L23" i="3" s="1"/>
  <c r="B383" i="3"/>
  <c r="E147" i="9" l="1" a="1"/>
  <c r="E147" i="9" s="1"/>
  <c r="F147" i="9" s="1"/>
  <c r="E143" i="9" a="1"/>
  <c r="E143" i="9" s="1"/>
  <c r="F143" i="9" s="1"/>
  <c r="G143" i="9" s="1"/>
  <c r="F145" i="9"/>
  <c r="G145" i="9" s="1"/>
  <c r="B383" i="9" a="1"/>
  <c r="E95" i="3" a="1"/>
  <c r="E95" i="3" s="1"/>
  <c r="F95" i="3" s="1"/>
  <c r="B389" i="3" a="1"/>
  <c r="E148" i="9" l="1" a="1"/>
  <c r="E148" i="9" s="1"/>
  <c r="F148" i="9" s="1"/>
  <c r="M31" i="9" s="1"/>
  <c r="G147" i="9"/>
  <c r="B383" i="9"/>
  <c r="G95" i="3"/>
  <c r="B389" i="3"/>
  <c r="E96" i="3" a="1"/>
  <c r="E96" i="3" s="1"/>
  <c r="F96" i="3" s="1"/>
  <c r="G96" i="3" s="1"/>
  <c r="C149" i="9" l="1" a="1"/>
  <c r="C149" i="9" s="1"/>
  <c r="K31" i="9"/>
  <c r="G148" i="9"/>
  <c r="B389" i="9" a="1"/>
  <c r="E97" i="3" a="1"/>
  <c r="E97" i="3" s="1"/>
  <c r="F97" i="3" s="1"/>
  <c r="G97" i="3" s="1"/>
  <c r="D152" i="9" l="1"/>
  <c r="D150" i="9"/>
  <c r="E150" i="9" s="1" a="1"/>
  <c r="E150" i="9" s="1"/>
  <c r="D153" i="9"/>
  <c r="D154" i="9"/>
  <c r="D151" i="9"/>
  <c r="D149" i="9"/>
  <c r="B389" i="9"/>
  <c r="E98" i="3" a="1"/>
  <c r="E98" i="3" s="1"/>
  <c r="F98" i="3" s="1"/>
  <c r="G98" i="3" s="1"/>
  <c r="E151" i="9" l="1" a="1"/>
  <c r="E151" i="9" s="1"/>
  <c r="F151" i="9" s="1"/>
  <c r="G151" i="9" s="1"/>
  <c r="L32" i="9"/>
  <c r="F150" i="9"/>
  <c r="G150" i="9" s="1"/>
  <c r="E149" i="9" a="1"/>
  <c r="E149" i="9" s="1"/>
  <c r="F149" i="9" s="1"/>
  <c r="E99" i="3" a="1"/>
  <c r="E99" i="3" s="1"/>
  <c r="E152" i="9" l="1" a="1"/>
  <c r="E152" i="9" s="1"/>
  <c r="F152" i="9" s="1"/>
  <c r="G152" i="9" s="1"/>
  <c r="G149" i="9"/>
  <c r="F99" i="3"/>
  <c r="E100" i="3" a="1"/>
  <c r="E100" i="3" s="1"/>
  <c r="F100" i="3" s="1"/>
  <c r="E153" i="9" l="1" a="1"/>
  <c r="E153" i="9" s="1"/>
  <c r="F153" i="9" s="1"/>
  <c r="G153" i="9" s="1"/>
  <c r="G100" i="3"/>
  <c r="M23" i="3"/>
  <c r="G99" i="3"/>
  <c r="C101" i="3" a="1"/>
  <c r="K23" i="3"/>
  <c r="B24" i="5" s="1"/>
  <c r="E154" i="9" l="1" a="1"/>
  <c r="E154" i="9" s="1"/>
  <c r="F154" i="9" s="1"/>
  <c r="C155" i="9" s="1" a="1"/>
  <c r="C155" i="9" s="1"/>
  <c r="D155" i="9" s="1"/>
  <c r="C101" i="3"/>
  <c r="D106" i="3"/>
  <c r="D105" i="3"/>
  <c r="D103" i="3"/>
  <c r="D102" i="3"/>
  <c r="D104" i="3"/>
  <c r="M32" i="9" l="1"/>
  <c r="D160" i="9"/>
  <c r="G154" i="9"/>
  <c r="D156" i="9"/>
  <c r="E156" i="9" s="1" a="1"/>
  <c r="E156" i="9" s="1"/>
  <c r="F156" i="9" s="1"/>
  <c r="G156" i="9" s="1"/>
  <c r="D158" i="9"/>
  <c r="D159" i="9"/>
  <c r="K32" i="9"/>
  <c r="D157" i="9"/>
  <c r="E155" i="9" a="1"/>
  <c r="E155" i="9" s="1"/>
  <c r="F155" i="9" s="1"/>
  <c r="D101" i="3"/>
  <c r="L24" i="3" s="1"/>
  <c r="E157" i="9" l="1" a="1"/>
  <c r="E157" i="9" s="1"/>
  <c r="F157" i="9" s="1"/>
  <c r="G157" i="9" s="1"/>
  <c r="L33" i="9"/>
  <c r="G155" i="9"/>
  <c r="E101" i="3" a="1"/>
  <c r="E101" i="3" s="1"/>
  <c r="E158" i="9" l="1" a="1"/>
  <c r="E158" i="9" s="1"/>
  <c r="F158" i="9" s="1"/>
  <c r="E102" i="3" a="1"/>
  <c r="E102" i="3" s="1"/>
  <c r="F102" i="3" s="1"/>
  <c r="G102" i="3" s="1"/>
  <c r="F101" i="3"/>
  <c r="E159" i="9" l="1" a="1"/>
  <c r="E159" i="9" s="1"/>
  <c r="F159" i="9" s="1"/>
  <c r="G159" i="9" s="1"/>
  <c r="G158" i="9"/>
  <c r="E103" i="3" a="1"/>
  <c r="E103" i="3" s="1"/>
  <c r="G101" i="3"/>
  <c r="E160" i="9" l="1" a="1"/>
  <c r="E160" i="9" s="1"/>
  <c r="F160" i="9" s="1"/>
  <c r="C161" i="9" s="1" a="1"/>
  <c r="C161" i="9" s="1"/>
  <c r="F103" i="3"/>
  <c r="E104" i="3" a="1"/>
  <c r="E104" i="3" s="1"/>
  <c r="F104" i="3" s="1"/>
  <c r="G104" i="3" s="1"/>
  <c r="D164" i="9" l="1"/>
  <c r="D163" i="9"/>
  <c r="D165" i="9"/>
  <c r="D166" i="9"/>
  <c r="M33" i="9"/>
  <c r="G160" i="9"/>
  <c r="D162" i="9"/>
  <c r="E162" i="9" s="1" a="1"/>
  <c r="E162" i="9" s="1"/>
  <c r="E163" i="9" s="1" a="1"/>
  <c r="E163" i="9" s="1"/>
  <c r="K33" i="9"/>
  <c r="D161" i="9"/>
  <c r="G103" i="3"/>
  <c r="E105" i="3" a="1"/>
  <c r="E105" i="3" s="1"/>
  <c r="L34" i="9" l="1"/>
  <c r="F162" i="9"/>
  <c r="G162" i="9" s="1"/>
  <c r="E164" i="9" a="1"/>
  <c r="E164" i="9" s="1"/>
  <c r="F164" i="9" s="1"/>
  <c r="G164" i="9" s="1"/>
  <c r="E161" i="9" a="1"/>
  <c r="E161" i="9" s="1"/>
  <c r="F161" i="9" s="1"/>
  <c r="F163" i="9"/>
  <c r="G163" i="9" s="1"/>
  <c r="F105" i="3"/>
  <c r="E106" i="3" a="1"/>
  <c r="E106" i="3" s="1"/>
  <c r="F106" i="3" s="1"/>
  <c r="G161" i="9" l="1"/>
  <c r="E165" i="9" a="1"/>
  <c r="E165" i="9" s="1"/>
  <c r="G106" i="3"/>
  <c r="M24" i="3"/>
  <c r="G105" i="3"/>
  <c r="C107" i="3" a="1"/>
  <c r="K24" i="3"/>
  <c r="B25" i="5" s="1"/>
  <c r="F165" i="9" l="1"/>
  <c r="E166" i="9" a="1"/>
  <c r="E166" i="9" s="1"/>
  <c r="F166" i="9" s="1"/>
  <c r="C107" i="3"/>
  <c r="D111" i="3"/>
  <c r="D108" i="3"/>
  <c r="D110" i="3"/>
  <c r="D109" i="3"/>
  <c r="D112" i="3"/>
  <c r="G166" i="9" l="1"/>
  <c r="M34" i="9"/>
  <c r="G165" i="9"/>
  <c r="C167" i="9" a="1"/>
  <c r="K34" i="9"/>
  <c r="D107" i="3"/>
  <c r="L25" i="3" s="1"/>
  <c r="C167" i="9" l="1"/>
  <c r="D169" i="9"/>
  <c r="D170" i="9"/>
  <c r="D171" i="9"/>
  <c r="D168" i="9"/>
  <c r="D172" i="9"/>
  <c r="E107" i="3" a="1"/>
  <c r="E107" i="3" s="1"/>
  <c r="F107" i="3" s="1"/>
  <c r="E168" i="9" l="1" a="1"/>
  <c r="E168" i="9" s="1"/>
  <c r="D167" i="9"/>
  <c r="L35" i="9" s="1"/>
  <c r="E108" i="3" a="1"/>
  <c r="E108" i="3" s="1"/>
  <c r="F108" i="3" s="1"/>
  <c r="G108" i="3" s="1"/>
  <c r="G107" i="3"/>
  <c r="E167" i="9" l="1" a="1"/>
  <c r="E167" i="9" s="1"/>
  <c r="F167" i="9" s="1"/>
  <c r="G167" i="9" s="1"/>
  <c r="E169" i="9" a="1"/>
  <c r="E169" i="9" s="1"/>
  <c r="F169" i="9" s="1"/>
  <c r="G169" i="9" s="1"/>
  <c r="F168" i="9"/>
  <c r="G168" i="9" s="1"/>
  <c r="E109" i="3" a="1"/>
  <c r="E109" i="3" s="1"/>
  <c r="F109" i="3" s="1"/>
  <c r="G109" i="3" s="1"/>
  <c r="E170" i="9" l="1" a="1"/>
  <c r="E170" i="9" s="1"/>
  <c r="F170" i="9" s="1"/>
  <c r="G170" i="9" s="1"/>
  <c r="E110" i="3" a="1"/>
  <c r="E110" i="3" s="1"/>
  <c r="F110" i="3" s="1"/>
  <c r="G110" i="3" s="1"/>
  <c r="E171" i="9" l="1" a="1"/>
  <c r="E171" i="9" s="1"/>
  <c r="E111" i="3" a="1"/>
  <c r="E111" i="3" s="1"/>
  <c r="F111" i="3" s="1"/>
  <c r="F171" i="9" l="1"/>
  <c r="E172" i="9" a="1"/>
  <c r="E172" i="9" s="1"/>
  <c r="F172" i="9" s="1"/>
  <c r="E112" i="3" a="1"/>
  <c r="E112" i="3" s="1"/>
  <c r="F112" i="3" s="1"/>
  <c r="G112" i="3" s="1"/>
  <c r="G111" i="3"/>
  <c r="G172" i="9" l="1"/>
  <c r="M35" i="9"/>
  <c r="G171" i="9"/>
  <c r="C173" i="9" a="1"/>
  <c r="K35" i="9"/>
  <c r="M25" i="3"/>
  <c r="K25" i="3"/>
  <c r="B26" i="5" s="1"/>
  <c r="C113" i="3" a="1"/>
  <c r="D114" i="3" s="1"/>
  <c r="C173" i="9" l="1"/>
  <c r="D177" i="9"/>
  <c r="D175" i="9"/>
  <c r="D174" i="9"/>
  <c r="E174" i="9" s="1" a="1"/>
  <c r="E174" i="9" s="1"/>
  <c r="F174" i="9" s="1"/>
  <c r="G174" i="9" s="1"/>
  <c r="D178" i="9"/>
  <c r="D176" i="9"/>
  <c r="D115" i="3"/>
  <c r="D117" i="3"/>
  <c r="D116" i="3"/>
  <c r="D118" i="3"/>
  <c r="C113" i="3"/>
  <c r="D113" i="3" s="1"/>
  <c r="E175" i="9" l="1" a="1"/>
  <c r="E175" i="9" s="1"/>
  <c r="E176" i="9" s="1" a="1"/>
  <c r="E176" i="9" s="1"/>
  <c r="F176" i="9" s="1"/>
  <c r="G176" i="9" s="1"/>
  <c r="D173" i="9"/>
  <c r="L36" i="9" s="1"/>
  <c r="L26" i="3"/>
  <c r="E113" i="3" a="1"/>
  <c r="E113" i="3" s="1"/>
  <c r="E177" i="9" l="1" a="1"/>
  <c r="E177" i="9" s="1"/>
  <c r="F177" i="9" s="1"/>
  <c r="G177" i="9" s="1"/>
  <c r="F175" i="9"/>
  <c r="G175" i="9" s="1"/>
  <c r="E173" i="9" a="1"/>
  <c r="E173" i="9" s="1"/>
  <c r="F173" i="9" s="1"/>
  <c r="E114" i="3" a="1"/>
  <c r="E114" i="3" s="1"/>
  <c r="F114" i="3" s="1"/>
  <c r="G114" i="3" s="1"/>
  <c r="F113" i="3"/>
  <c r="G173" i="9" l="1"/>
  <c r="E178" i="9" a="1"/>
  <c r="E178" i="9" s="1"/>
  <c r="F178" i="9" s="1"/>
  <c r="K36" i="9" s="1"/>
  <c r="G113" i="3"/>
  <c r="E115" i="3" a="1"/>
  <c r="E115" i="3" s="1"/>
  <c r="F115" i="3" s="1"/>
  <c r="G115" i="3" s="1"/>
  <c r="M36" i="9" l="1"/>
  <c r="G178" i="9"/>
  <c r="C179" i="9" a="1"/>
  <c r="E116" i="3" a="1"/>
  <c r="E116" i="3" s="1"/>
  <c r="C179" i="9" l="1"/>
  <c r="D180" i="9"/>
  <c r="E180" i="9" s="1" a="1"/>
  <c r="E180" i="9" s="1"/>
  <c r="D181" i="9"/>
  <c r="D182" i="9"/>
  <c r="D184" i="9"/>
  <c r="D183" i="9"/>
  <c r="F116" i="3"/>
  <c r="E117" i="3" a="1"/>
  <c r="E117" i="3" s="1"/>
  <c r="F180" i="9" l="1"/>
  <c r="G180" i="9" s="1"/>
  <c r="E181" i="9" a="1"/>
  <c r="E181" i="9" s="1"/>
  <c r="E182" i="9" s="1" a="1"/>
  <c r="E182" i="9" s="1"/>
  <c r="F182" i="9" s="1"/>
  <c r="G182" i="9" s="1"/>
  <c r="D179" i="9"/>
  <c r="L37" i="9" s="1"/>
  <c r="F117" i="3"/>
  <c r="G117" i="3" s="1"/>
  <c r="E118" i="3" a="1"/>
  <c r="E118" i="3" s="1"/>
  <c r="F118" i="3" s="1"/>
  <c r="C119" i="3" s="1" a="1"/>
  <c r="G116" i="3"/>
  <c r="F181" i="9" l="1"/>
  <c r="G181" i="9" s="1"/>
  <c r="E179" i="9" a="1"/>
  <c r="E179" i="9" s="1"/>
  <c r="F179" i="9" s="1"/>
  <c r="E183" i="9" a="1"/>
  <c r="E183" i="9" s="1"/>
  <c r="F183" i="9" s="1"/>
  <c r="G183" i="9" s="1"/>
  <c r="C119" i="3"/>
  <c r="D121" i="3"/>
  <c r="D122" i="3"/>
  <c r="D124" i="3"/>
  <c r="D120" i="3"/>
  <c r="D123" i="3"/>
  <c r="G118" i="3"/>
  <c r="M26" i="3"/>
  <c r="K26" i="3"/>
  <c r="B27" i="5" s="1"/>
  <c r="G179" i="9" l="1"/>
  <c r="E184" i="9" a="1"/>
  <c r="E184" i="9" s="1"/>
  <c r="F184" i="9" s="1"/>
  <c r="C185" i="9" s="1" a="1"/>
  <c r="D119" i="3"/>
  <c r="L27" i="3" s="1"/>
  <c r="C185" i="9" l="1"/>
  <c r="D187" i="9"/>
  <c r="D190" i="9"/>
  <c r="D189" i="9"/>
  <c r="D188" i="9"/>
  <c r="D186" i="9"/>
  <c r="G184" i="9"/>
  <c r="M37" i="9"/>
  <c r="K37" i="9"/>
  <c r="E119" i="3" a="1"/>
  <c r="E119" i="3" s="1"/>
  <c r="F119" i="3" s="1"/>
  <c r="E186" i="9" l="1" a="1"/>
  <c r="E186" i="9" s="1"/>
  <c r="F186" i="9" s="1"/>
  <c r="G186" i="9" s="1"/>
  <c r="D185" i="9"/>
  <c r="L38" i="9" s="1"/>
  <c r="G119" i="3"/>
  <c r="E120" i="3" a="1"/>
  <c r="E120" i="3" s="1"/>
  <c r="F120" i="3" s="1"/>
  <c r="G120" i="3" s="1"/>
  <c r="E185" i="9" l="1" a="1"/>
  <c r="E185" i="9" s="1"/>
  <c r="F185" i="9" s="1"/>
  <c r="E187" i="9" a="1"/>
  <c r="E187" i="9" s="1"/>
  <c r="F187" i="9" s="1"/>
  <c r="G187" i="9" s="1"/>
  <c r="E121" i="3" a="1"/>
  <c r="E121" i="3" s="1"/>
  <c r="G185" i="9" l="1"/>
  <c r="E188" i="9" a="1"/>
  <c r="E188" i="9" s="1"/>
  <c r="F121" i="3"/>
  <c r="E122" i="3" a="1"/>
  <c r="E122" i="3" s="1"/>
  <c r="F188" i="9" l="1"/>
  <c r="E189" i="9" a="1"/>
  <c r="E189" i="9" s="1"/>
  <c r="F122" i="3"/>
  <c r="G122" i="3" s="1"/>
  <c r="E123" i="3" a="1"/>
  <c r="E123" i="3" s="1"/>
  <c r="G121" i="3"/>
  <c r="F189" i="9" l="1"/>
  <c r="G189" i="9" s="1"/>
  <c r="E190" i="9" a="1"/>
  <c r="E190" i="9" s="1"/>
  <c r="F190" i="9" s="1"/>
  <c r="K38" i="9" s="1"/>
  <c r="G188" i="9"/>
  <c r="F123" i="3"/>
  <c r="E124" i="3" a="1"/>
  <c r="E124" i="3" s="1"/>
  <c r="F124" i="3" s="1"/>
  <c r="G190" i="9" l="1"/>
  <c r="M38" i="9"/>
  <c r="C191" i="9" a="1"/>
  <c r="G124" i="3"/>
  <c r="M27" i="3"/>
  <c r="G123" i="3"/>
  <c r="C125" i="3" a="1"/>
  <c r="K27" i="3"/>
  <c r="B28" i="5" s="1"/>
  <c r="C191" i="9" l="1"/>
  <c r="D195" i="9"/>
  <c r="D193" i="9"/>
  <c r="D196" i="9"/>
  <c r="D194" i="9"/>
  <c r="D192" i="9"/>
  <c r="C125" i="3"/>
  <c r="D127" i="3"/>
  <c r="D130" i="3"/>
  <c r="D128" i="3"/>
  <c r="D126" i="3"/>
  <c r="D129" i="3"/>
  <c r="E192" i="9" l="1" a="1"/>
  <c r="E192" i="9" s="1"/>
  <c r="F192" i="9" s="1"/>
  <c r="G192" i="9" s="1"/>
  <c r="D191" i="9"/>
  <c r="L39" i="9" s="1"/>
  <c r="D125" i="3"/>
  <c r="L28" i="3" s="1"/>
  <c r="E191" i="9" l="1" a="1"/>
  <c r="E191" i="9" s="1"/>
  <c r="F191" i="9" s="1"/>
  <c r="E193" i="9" a="1"/>
  <c r="E193" i="9" s="1"/>
  <c r="F193" i="9" s="1"/>
  <c r="G193" i="9" s="1"/>
  <c r="E125" i="3" a="1"/>
  <c r="E125" i="3" s="1"/>
  <c r="G191" i="9" l="1"/>
  <c r="E194" i="9" a="1"/>
  <c r="E194" i="9" s="1"/>
  <c r="F194" i="9" s="1"/>
  <c r="G194" i="9" s="1"/>
  <c r="E126" i="3" a="1"/>
  <c r="E126" i="3" s="1"/>
  <c r="F126" i="3" s="1"/>
  <c r="G126" i="3" s="1"/>
  <c r="F125" i="3"/>
  <c r="E195" i="9" l="1" a="1"/>
  <c r="E195" i="9" s="1"/>
  <c r="F195" i="9" s="1"/>
  <c r="G195" i="9" s="1"/>
  <c r="G125" i="3"/>
  <c r="E127" i="3" a="1"/>
  <c r="E127" i="3" s="1"/>
  <c r="E196" i="9" l="1" a="1"/>
  <c r="E196" i="9" s="1"/>
  <c r="F196" i="9" s="1"/>
  <c r="K39" i="9" s="1"/>
  <c r="F127" i="3"/>
  <c r="E128" i="3" a="1"/>
  <c r="E128" i="3" s="1"/>
  <c r="G196" i="9" l="1"/>
  <c r="M39" i="9"/>
  <c r="C197" i="9" a="1"/>
  <c r="F128" i="3"/>
  <c r="G128" i="3" s="1"/>
  <c r="E129" i="3" a="1"/>
  <c r="E129" i="3" s="1"/>
  <c r="G127" i="3"/>
  <c r="C197" i="9" l="1"/>
  <c r="D198" i="9"/>
  <c r="E198" i="9" s="1" a="1"/>
  <c r="E198" i="9" s="1"/>
  <c r="D199" i="9"/>
  <c r="D202" i="9"/>
  <c r="D200" i="9"/>
  <c r="D201" i="9"/>
  <c r="F129" i="3"/>
  <c r="E130" i="3" a="1"/>
  <c r="E130" i="3" s="1"/>
  <c r="F130" i="3" s="1"/>
  <c r="E199" i="9" l="1" a="1"/>
  <c r="E199" i="9" s="1"/>
  <c r="F199" i="9" s="1"/>
  <c r="G199" i="9" s="1"/>
  <c r="F198" i="9"/>
  <c r="G198" i="9" s="1"/>
  <c r="D197" i="9"/>
  <c r="L40" i="9" s="1"/>
  <c r="G130" i="3"/>
  <c r="M28" i="3"/>
  <c r="G129" i="3"/>
  <c r="K28" i="3"/>
  <c r="B29" i="5" s="1"/>
  <c r="C131" i="3" a="1"/>
  <c r="E200" i="9" l="1" a="1"/>
  <c r="E200" i="9" s="1"/>
  <c r="F200" i="9" s="1"/>
  <c r="G200" i="9" s="1"/>
  <c r="E197" i="9" a="1"/>
  <c r="E197" i="9" s="1"/>
  <c r="F197" i="9" s="1"/>
  <c r="G197" i="9" s="1"/>
  <c r="C131" i="3"/>
  <c r="D134" i="3"/>
  <c r="D132" i="3"/>
  <c r="D135" i="3"/>
  <c r="D133" i="3"/>
  <c r="D136" i="3"/>
  <c r="E201" i="9" l="1" a="1"/>
  <c r="E201" i="9" s="1"/>
  <c r="F201" i="9" s="1"/>
  <c r="G201" i="9" s="1"/>
  <c r="D131" i="3"/>
  <c r="L29" i="3" s="1"/>
  <c r="E202" i="9" l="1" a="1"/>
  <c r="E202" i="9" s="1"/>
  <c r="F202" i="9" s="1"/>
  <c r="G202" i="9" s="1"/>
  <c r="E131" i="3" a="1"/>
  <c r="E131" i="3" s="1"/>
  <c r="K40" i="9" l="1"/>
  <c r="C203" i="9" a="1"/>
  <c r="D204" i="9" s="1"/>
  <c r="M40" i="9"/>
  <c r="D206" i="9"/>
  <c r="D207" i="9"/>
  <c r="E132" i="3" a="1"/>
  <c r="E132" i="3" s="1"/>
  <c r="F132" i="3" s="1"/>
  <c r="G132" i="3" s="1"/>
  <c r="F131" i="3"/>
  <c r="C203" i="9" l="1"/>
  <c r="D203" i="9" s="1"/>
  <c r="D205" i="9"/>
  <c r="D208" i="9"/>
  <c r="E204" i="9" a="1"/>
  <c r="E204" i="9" s="1"/>
  <c r="E133" i="3" a="1"/>
  <c r="E133" i="3" s="1"/>
  <c r="F133" i="3" s="1"/>
  <c r="G133" i="3" s="1"/>
  <c r="G131" i="3"/>
  <c r="L41" i="9" l="1"/>
  <c r="E205" i="9" a="1"/>
  <c r="E205" i="9" s="1"/>
  <c r="F205" i="9" s="1"/>
  <c r="G205" i="9" s="1"/>
  <c r="E203" i="9" a="1"/>
  <c r="E203" i="9" s="1"/>
  <c r="F203" i="9" s="1"/>
  <c r="F204" i="9"/>
  <c r="G204" i="9" s="1"/>
  <c r="E134" i="3" a="1"/>
  <c r="E134" i="3" s="1"/>
  <c r="F134" i="3" s="1"/>
  <c r="G134" i="3" s="1"/>
  <c r="G203" i="9" l="1"/>
  <c r="E206" i="9" a="1"/>
  <c r="E206" i="9" s="1"/>
  <c r="F206" i="9" s="1"/>
  <c r="G206" i="9" s="1"/>
  <c r="E135" i="3" a="1"/>
  <c r="E135" i="3" s="1"/>
  <c r="F135" i="3" s="1"/>
  <c r="E207" i="9" l="1" a="1"/>
  <c r="E207" i="9" s="1"/>
  <c r="E136" i="3" a="1"/>
  <c r="E136" i="3" s="1"/>
  <c r="F136" i="3" s="1"/>
  <c r="G136" i="3" s="1"/>
  <c r="G135" i="3"/>
  <c r="F207" i="9" l="1"/>
  <c r="E208" i="9" a="1"/>
  <c r="E208" i="9" s="1"/>
  <c r="F208" i="9" s="1"/>
  <c r="C137" i="3" a="1"/>
  <c r="C137" i="3" s="1"/>
  <c r="K29" i="3"/>
  <c r="B30" i="5" s="1"/>
  <c r="M29" i="3"/>
  <c r="G208" i="9" l="1"/>
  <c r="M41" i="9"/>
  <c r="G207" i="9"/>
  <c r="K41" i="9"/>
  <c r="C209" i="9" a="1"/>
  <c r="D140" i="3"/>
  <c r="D141" i="3"/>
  <c r="D138" i="3"/>
  <c r="D139" i="3"/>
  <c r="D142" i="3"/>
  <c r="D137" i="3"/>
  <c r="C209" i="9" l="1"/>
  <c r="D211" i="9"/>
  <c r="D214" i="9"/>
  <c r="D213" i="9"/>
  <c r="D210" i="9"/>
  <c r="E210" i="9" s="1" a="1"/>
  <c r="E210" i="9" s="1"/>
  <c r="D212" i="9"/>
  <c r="L30" i="3"/>
  <c r="E137" i="3" a="1"/>
  <c r="E137" i="3" s="1"/>
  <c r="F137" i="3" s="1"/>
  <c r="E211" i="9" l="1" a="1"/>
  <c r="E211" i="9" s="1"/>
  <c r="F210" i="9"/>
  <c r="G210" i="9" s="1"/>
  <c r="D209" i="9"/>
  <c r="L42" i="9" s="1"/>
  <c r="G137" i="3"/>
  <c r="E138" i="3" a="1"/>
  <c r="E138" i="3" s="1"/>
  <c r="F138" i="3" s="1"/>
  <c r="G138" i="3" s="1"/>
  <c r="E212" i="9" l="1" a="1"/>
  <c r="E212" i="9" s="1"/>
  <c r="F212" i="9" s="1"/>
  <c r="G212" i="9" s="1"/>
  <c r="F211" i="9"/>
  <c r="G211" i="9" s="1"/>
  <c r="E209" i="9" a="1"/>
  <c r="E209" i="9" s="1"/>
  <c r="F209" i="9" s="1"/>
  <c r="E139" i="3" a="1"/>
  <c r="E139" i="3" s="1"/>
  <c r="F139" i="3" s="1"/>
  <c r="G139" i="3" s="1"/>
  <c r="G209" i="9" l="1"/>
  <c r="E213" i="9" a="1"/>
  <c r="E213" i="9" s="1"/>
  <c r="E140" i="3" a="1"/>
  <c r="E140" i="3" s="1"/>
  <c r="F213" i="9" l="1"/>
  <c r="E214" i="9" a="1"/>
  <c r="E214" i="9" s="1"/>
  <c r="F214" i="9" s="1"/>
  <c r="F140" i="3"/>
  <c r="E141" i="3" a="1"/>
  <c r="E141" i="3" s="1"/>
  <c r="G214" i="9" l="1"/>
  <c r="M42" i="9"/>
  <c r="G213" i="9"/>
  <c r="C215" i="9" a="1"/>
  <c r="K42" i="9"/>
  <c r="F141" i="3"/>
  <c r="G141" i="3" s="1"/>
  <c r="E142" i="3" a="1"/>
  <c r="E142" i="3" s="1"/>
  <c r="F142" i="3" s="1"/>
  <c r="C143" i="3" s="1" a="1"/>
  <c r="G140" i="3"/>
  <c r="C215" i="9" l="1"/>
  <c r="D220" i="9"/>
  <c r="D217" i="9"/>
  <c r="D218" i="9"/>
  <c r="D216" i="9"/>
  <c r="E216" i="9" s="1" a="1"/>
  <c r="E216" i="9" s="1"/>
  <c r="F216" i="9" s="1"/>
  <c r="G216" i="9" s="1"/>
  <c r="D219" i="9"/>
  <c r="C143" i="3"/>
  <c r="D146" i="3"/>
  <c r="D147" i="3"/>
  <c r="D148" i="3"/>
  <c r="D144" i="3"/>
  <c r="D145" i="3"/>
  <c r="K30" i="3"/>
  <c r="B31" i="5" s="1"/>
  <c r="G142" i="3"/>
  <c r="M30" i="3"/>
  <c r="E217" i="9" l="1" a="1"/>
  <c r="E217" i="9" s="1"/>
  <c r="F217" i="9" s="1"/>
  <c r="G217" i="9" s="1"/>
  <c r="D215" i="9"/>
  <c r="L43" i="9" s="1"/>
  <c r="D143" i="3"/>
  <c r="L31" i="3" s="1"/>
  <c r="E215" i="9" l="1" a="1"/>
  <c r="E215" i="9" s="1"/>
  <c r="F215" i="9" s="1"/>
  <c r="G215" i="9" s="1"/>
  <c r="E218" i="9" a="1"/>
  <c r="E218" i="9" s="1"/>
  <c r="F218" i="9" s="1"/>
  <c r="G218" i="9" s="1"/>
  <c r="E143" i="3" a="1"/>
  <c r="E143" i="3" s="1"/>
  <c r="F143" i="3" s="1"/>
  <c r="E17" i="4"/>
  <c r="E18" i="4" s="1"/>
  <c r="F18" i="4" s="1"/>
  <c r="E219" i="9" l="1" a="1"/>
  <c r="E219" i="9" s="1"/>
  <c r="E144" i="3" a="1"/>
  <c r="E144" i="3" s="1"/>
  <c r="F144" i="3" s="1"/>
  <c r="G144" i="3" s="1"/>
  <c r="G143" i="3"/>
  <c r="G18" i="4"/>
  <c r="C24" i="4"/>
  <c r="E19" i="4"/>
  <c r="F17" i="4"/>
  <c r="F219" i="9" l="1"/>
  <c r="E220" i="9" a="1"/>
  <c r="E220" i="9" s="1"/>
  <c r="F220" i="9" s="1"/>
  <c r="E145" i="3" a="1"/>
  <c r="E145" i="3" s="1"/>
  <c r="F145" i="3" s="1"/>
  <c r="G145" i="3" s="1"/>
  <c r="F19" i="4"/>
  <c r="E20" i="4"/>
  <c r="F20" i="4" s="1"/>
  <c r="G17" i="4"/>
  <c r="C23" i="4"/>
  <c r="D24" i="4"/>
  <c r="G220" i="9" l="1"/>
  <c r="M43" i="9"/>
  <c r="G219" i="9"/>
  <c r="K43" i="9"/>
  <c r="C221" i="9" a="1"/>
  <c r="P24" i="4"/>
  <c r="E146" i="3" a="1"/>
  <c r="E146" i="3" s="1"/>
  <c r="F146" i="3" s="1"/>
  <c r="E21" i="4"/>
  <c r="F21" i="4" s="1"/>
  <c r="D23" i="4"/>
  <c r="C25" i="4"/>
  <c r="G19" i="4"/>
  <c r="G20" i="4"/>
  <c r="C26" i="4"/>
  <c r="C221" i="9" l="1"/>
  <c r="D226" i="9"/>
  <c r="D223" i="9"/>
  <c r="D225" i="9"/>
  <c r="D224" i="9"/>
  <c r="D222" i="9"/>
  <c r="P23" i="4"/>
  <c r="E147" i="3" a="1"/>
  <c r="E147" i="3" s="1"/>
  <c r="F147" i="3" s="1"/>
  <c r="G147" i="3" s="1"/>
  <c r="G146" i="3"/>
  <c r="E22" i="4"/>
  <c r="F22" i="4" s="1"/>
  <c r="M10" i="4" s="1"/>
  <c r="D25" i="4"/>
  <c r="D26" i="4"/>
  <c r="P26" i="4" s="1"/>
  <c r="C27" i="4"/>
  <c r="G21" i="4"/>
  <c r="E222" i="9" l="1" a="1"/>
  <c r="E222" i="9" s="1"/>
  <c r="D221" i="9"/>
  <c r="L44" i="9" s="1"/>
  <c r="K10" i="4"/>
  <c r="P25" i="4"/>
  <c r="E148" i="3" a="1"/>
  <c r="E148" i="3" s="1"/>
  <c r="F148" i="3" s="1"/>
  <c r="K31" i="3" s="1"/>
  <c r="B32" i="5" s="1"/>
  <c r="G22" i="4"/>
  <c r="C28" i="4"/>
  <c r="D27" i="4"/>
  <c r="P27" i="4" s="1"/>
  <c r="E221" i="9" l="1" a="1"/>
  <c r="E221" i="9" s="1"/>
  <c r="F221" i="9" s="1"/>
  <c r="E223" i="9" a="1"/>
  <c r="E223" i="9" s="1"/>
  <c r="F223" i="9" s="1"/>
  <c r="G223" i="9" s="1"/>
  <c r="F222" i="9"/>
  <c r="G222" i="9" s="1"/>
  <c r="M31" i="3"/>
  <c r="G148" i="3"/>
  <c r="C149" i="3" a="1"/>
  <c r="D150" i="3" s="1"/>
  <c r="D28" i="4"/>
  <c r="P28" i="4" s="1"/>
  <c r="G221" i="9" l="1"/>
  <c r="E224" i="9" a="1"/>
  <c r="E224" i="9" s="1"/>
  <c r="F224" i="9" s="1"/>
  <c r="G224" i="9" s="1"/>
  <c r="L11" i="4"/>
  <c r="D154" i="3"/>
  <c r="D151" i="3"/>
  <c r="D153" i="3"/>
  <c r="D152" i="3"/>
  <c r="C149" i="3"/>
  <c r="D149" i="3" s="1"/>
  <c r="E23" i="4"/>
  <c r="E225" i="9" l="1" a="1"/>
  <c r="E225" i="9" s="1"/>
  <c r="L32" i="3"/>
  <c r="E149" i="3" a="1"/>
  <c r="E149" i="3" s="1"/>
  <c r="F149" i="3" s="1"/>
  <c r="E24" i="4"/>
  <c r="F24" i="4" s="1"/>
  <c r="F23" i="4"/>
  <c r="F225" i="9" l="1"/>
  <c r="E226" i="9" a="1"/>
  <c r="E226" i="9" s="1"/>
  <c r="F226" i="9" s="1"/>
  <c r="E150" i="3" a="1"/>
  <c r="E150" i="3" s="1"/>
  <c r="F150" i="3" s="1"/>
  <c r="G150" i="3" s="1"/>
  <c r="G149" i="3"/>
  <c r="E25" i="4"/>
  <c r="F25" i="4" s="1"/>
  <c r="G23" i="4"/>
  <c r="C29" i="4"/>
  <c r="C30" i="4"/>
  <c r="G24" i="4"/>
  <c r="G226" i="9" l="1"/>
  <c r="M44" i="9"/>
  <c r="G225" i="9"/>
  <c r="K44" i="9"/>
  <c r="C227" i="9" a="1"/>
  <c r="E151" i="3" a="1"/>
  <c r="E151" i="3" s="1"/>
  <c r="F151" i="3" s="1"/>
  <c r="G151" i="3" s="1"/>
  <c r="C31" i="4"/>
  <c r="G25" i="4"/>
  <c r="D30" i="4"/>
  <c r="D29" i="4"/>
  <c r="E26" i="4"/>
  <c r="F26" i="4" s="1"/>
  <c r="C227" i="9" l="1"/>
  <c r="D231" i="9"/>
  <c r="D229" i="9"/>
  <c r="D228" i="9"/>
  <c r="E228" i="9" s="1" a="1"/>
  <c r="E228" i="9" s="1"/>
  <c r="D232" i="9"/>
  <c r="D230" i="9"/>
  <c r="P30" i="4"/>
  <c r="P29" i="4"/>
  <c r="E152" i="3" a="1"/>
  <c r="E152" i="3" s="1"/>
  <c r="F152" i="3" s="1"/>
  <c r="G152" i="3" s="1"/>
  <c r="G26" i="4"/>
  <c r="C32" i="4"/>
  <c r="E27" i="4"/>
  <c r="D31" i="4"/>
  <c r="P31" i="4" s="1"/>
  <c r="F228" i="9" l="1"/>
  <c r="G228" i="9" s="1"/>
  <c r="E229" i="9" a="1"/>
  <c r="E229" i="9" s="1"/>
  <c r="E230" i="9" s="1" a="1"/>
  <c r="E230" i="9" s="1"/>
  <c r="F230" i="9" s="1"/>
  <c r="G230" i="9" s="1"/>
  <c r="D227" i="9"/>
  <c r="L45" i="9" s="1"/>
  <c r="E153" i="3" a="1"/>
  <c r="E153" i="3" s="1"/>
  <c r="F153" i="3" s="1"/>
  <c r="D32" i="4"/>
  <c r="F27" i="4"/>
  <c r="E28" i="4"/>
  <c r="F28" i="4" s="1"/>
  <c r="F229" i="9" l="1"/>
  <c r="G229" i="9" s="1"/>
  <c r="E227" i="9" a="1"/>
  <c r="E227" i="9" s="1"/>
  <c r="F227" i="9" s="1"/>
  <c r="E231" i="9" a="1"/>
  <c r="E231" i="9" s="1"/>
  <c r="F231" i="9" s="1"/>
  <c r="G231" i="9" s="1"/>
  <c r="M11" i="4"/>
  <c r="K11" i="4"/>
  <c r="P32" i="4"/>
  <c r="E154" i="3" a="1"/>
  <c r="E154" i="3" s="1"/>
  <c r="F154" i="3" s="1"/>
  <c r="G154" i="3" s="1"/>
  <c r="G153" i="3"/>
  <c r="G28" i="4"/>
  <c r="C34" i="4"/>
  <c r="G27" i="4"/>
  <c r="C33" i="4"/>
  <c r="G227" i="9" l="1"/>
  <c r="E232" i="9" a="1"/>
  <c r="E232" i="9" s="1"/>
  <c r="F232" i="9" s="1"/>
  <c r="K45" i="9" s="1"/>
  <c r="K32" i="3"/>
  <c r="B33" i="5" s="1"/>
  <c r="M32" i="3"/>
  <c r="C155" i="3" a="1"/>
  <c r="D159" i="3" s="1"/>
  <c r="D34" i="4"/>
  <c r="D33" i="4"/>
  <c r="G232" i="9" l="1"/>
  <c r="M45" i="9"/>
  <c r="C233" i="9" a="1"/>
  <c r="P34" i="4"/>
  <c r="L12" i="4"/>
  <c r="P33" i="4"/>
  <c r="D156" i="3"/>
  <c r="D160" i="3"/>
  <c r="D157" i="3"/>
  <c r="D158" i="3"/>
  <c r="C155" i="3"/>
  <c r="D155" i="3" s="1"/>
  <c r="C233" i="9" l="1"/>
  <c r="D235" i="9"/>
  <c r="D238" i="9"/>
  <c r="D237" i="9"/>
  <c r="D236" i="9"/>
  <c r="D234" i="9"/>
  <c r="L33" i="3"/>
  <c r="E155" i="3" a="1"/>
  <c r="E155" i="3" s="1"/>
  <c r="E29" i="4"/>
  <c r="F29" i="4" s="1"/>
  <c r="D233" i="9" l="1"/>
  <c r="L46" i="9" s="1"/>
  <c r="E234" i="9" a="1"/>
  <c r="E234" i="9" s="1"/>
  <c r="C35" i="4"/>
  <c r="D35" i="4" s="1"/>
  <c r="E156" i="3" a="1"/>
  <c r="E156" i="3" s="1"/>
  <c r="F156" i="3" s="1"/>
  <c r="G156" i="3" s="1"/>
  <c r="F155" i="3"/>
  <c r="G29" i="4"/>
  <c r="E30" i="4"/>
  <c r="E31" i="4" s="1"/>
  <c r="F31" i="4" s="1"/>
  <c r="E235" i="9" l="1" a="1"/>
  <c r="E235" i="9" s="1"/>
  <c r="F235" i="9" s="1"/>
  <c r="G235" i="9" s="1"/>
  <c r="E233" i="9" a="1"/>
  <c r="E233" i="9" s="1"/>
  <c r="F233" i="9" s="1"/>
  <c r="F234" i="9"/>
  <c r="G234" i="9" s="1"/>
  <c r="P35" i="4"/>
  <c r="G155" i="3"/>
  <c r="E157" i="3" a="1"/>
  <c r="E157" i="3" s="1"/>
  <c r="F157" i="3" s="1"/>
  <c r="G157" i="3" s="1"/>
  <c r="F30" i="4"/>
  <c r="G31" i="4"/>
  <c r="C37" i="4"/>
  <c r="E32" i="4"/>
  <c r="F32" i="4" s="1"/>
  <c r="G233" i="9" l="1"/>
  <c r="E236" i="9" a="1"/>
  <c r="E236" i="9" s="1"/>
  <c r="F236" i="9" s="1"/>
  <c r="G236" i="9" s="1"/>
  <c r="C36" i="4"/>
  <c r="D36" i="4" s="1"/>
  <c r="E158" i="3" a="1"/>
  <c r="E158" i="3" s="1"/>
  <c r="G30" i="4"/>
  <c r="D37" i="4"/>
  <c r="P37" i="4" s="1"/>
  <c r="G32" i="4"/>
  <c r="C38" i="4"/>
  <c r="E33" i="4"/>
  <c r="F33" i="4" s="1"/>
  <c r="E237" i="9" l="1" a="1"/>
  <c r="E237" i="9" s="1"/>
  <c r="P36" i="4"/>
  <c r="F158" i="3"/>
  <c r="E159" i="3" a="1"/>
  <c r="E159" i="3" s="1"/>
  <c r="D38" i="4"/>
  <c r="P38" i="4" s="1"/>
  <c r="E34" i="4"/>
  <c r="F34" i="4" s="1"/>
  <c r="K12" i="4" s="1"/>
  <c r="G33" i="4"/>
  <c r="C39" i="4"/>
  <c r="F237" i="9" l="1"/>
  <c r="E238" i="9" a="1"/>
  <c r="E238" i="9" s="1"/>
  <c r="F238" i="9" s="1"/>
  <c r="M12" i="4"/>
  <c r="F159" i="3"/>
  <c r="G159" i="3" s="1"/>
  <c r="E160" i="3" a="1"/>
  <c r="E160" i="3" s="1"/>
  <c r="F160" i="3" s="1"/>
  <c r="G158" i="3"/>
  <c r="C40" i="4"/>
  <c r="G34" i="4"/>
  <c r="D39" i="4"/>
  <c r="P39" i="4" s="1"/>
  <c r="G238" i="9" l="1"/>
  <c r="M46" i="9"/>
  <c r="G237" i="9"/>
  <c r="K46" i="9"/>
  <c r="C239" i="9" a="1"/>
  <c r="K33" i="3"/>
  <c r="B34" i="5" s="1"/>
  <c r="C161" i="3" a="1"/>
  <c r="G160" i="3"/>
  <c r="M33" i="3"/>
  <c r="D40" i="4"/>
  <c r="L13" i="4" s="1"/>
  <c r="C239" i="9" l="1"/>
  <c r="D241" i="9"/>
  <c r="D244" i="9"/>
  <c r="D240" i="9"/>
  <c r="E240" i="9" s="1" a="1"/>
  <c r="E240" i="9" s="1"/>
  <c r="D242" i="9"/>
  <c r="D243" i="9"/>
  <c r="P40" i="4"/>
  <c r="E35" i="4" s="1"/>
  <c r="F35" i="4" s="1"/>
  <c r="C161" i="3"/>
  <c r="D165" i="3"/>
  <c r="D164" i="3"/>
  <c r="D163" i="3"/>
  <c r="D162" i="3"/>
  <c r="D166" i="3"/>
  <c r="F240" i="9" l="1"/>
  <c r="G240" i="9" s="1"/>
  <c r="E241" i="9" a="1"/>
  <c r="E241" i="9" s="1"/>
  <c r="D239" i="9"/>
  <c r="L47" i="9" s="1"/>
  <c r="C41" i="4"/>
  <c r="D41" i="4" s="1"/>
  <c r="D161" i="3"/>
  <c r="L34" i="3" s="1"/>
  <c r="E36" i="4"/>
  <c r="F36" i="4" s="1"/>
  <c r="G35" i="4"/>
  <c r="E242" i="9" l="1" a="1"/>
  <c r="E242" i="9" s="1"/>
  <c r="F242" i="9" s="1"/>
  <c r="G242" i="9" s="1"/>
  <c r="F241" i="9"/>
  <c r="G241" i="9" s="1"/>
  <c r="E239" i="9" a="1"/>
  <c r="E239" i="9" s="1"/>
  <c r="F239" i="9" s="1"/>
  <c r="P41" i="4"/>
  <c r="E161" i="3" a="1"/>
  <c r="E161" i="3" s="1"/>
  <c r="E162" i="3" s="1" a="1"/>
  <c r="E162" i="3" s="1"/>
  <c r="F162" i="3" s="1"/>
  <c r="G162" i="3" s="1"/>
  <c r="E37" i="4"/>
  <c r="F37" i="4" s="1"/>
  <c r="C42" i="4"/>
  <c r="G36" i="4"/>
  <c r="G239" i="9" l="1"/>
  <c r="E243" i="9" a="1"/>
  <c r="E243" i="9" s="1"/>
  <c r="C43" i="4"/>
  <c r="D43" i="4" s="1"/>
  <c r="P43" i="4" s="1"/>
  <c r="F161" i="3"/>
  <c r="G161" i="3" s="1"/>
  <c r="E163" i="3" a="1"/>
  <c r="E163" i="3" s="1"/>
  <c r="F163" i="3" s="1"/>
  <c r="G163" i="3" s="1"/>
  <c r="E38" i="4"/>
  <c r="F38" i="4" s="1"/>
  <c r="G37" i="4"/>
  <c r="D42" i="4"/>
  <c r="F243" i="9" l="1"/>
  <c r="E244" i="9" a="1"/>
  <c r="E244" i="9" s="1"/>
  <c r="F244" i="9" s="1"/>
  <c r="C44" i="4"/>
  <c r="D44" i="4" s="1"/>
  <c r="P44" i="4" s="1"/>
  <c r="P42" i="4"/>
  <c r="E164" i="3" a="1"/>
  <c r="E164" i="3" s="1"/>
  <c r="G38" i="4"/>
  <c r="E39" i="4"/>
  <c r="F39" i="4" s="1"/>
  <c r="G244" i="9" l="1"/>
  <c r="M47" i="9"/>
  <c r="G243" i="9"/>
  <c r="C245" i="9" a="1"/>
  <c r="K47" i="9"/>
  <c r="C45" i="4"/>
  <c r="D45" i="4" s="1"/>
  <c r="P45" i="4" s="1"/>
  <c r="F164" i="3"/>
  <c r="E165" i="3" a="1"/>
  <c r="E165" i="3" s="1"/>
  <c r="G39" i="4"/>
  <c r="E40" i="4"/>
  <c r="F40" i="4" s="1"/>
  <c r="K13" i="4" s="1"/>
  <c r="C245" i="9" l="1"/>
  <c r="D250" i="9"/>
  <c r="D247" i="9"/>
  <c r="D248" i="9"/>
  <c r="D246" i="9"/>
  <c r="D249" i="9"/>
  <c r="M13" i="4"/>
  <c r="F165" i="3"/>
  <c r="G165" i="3" s="1"/>
  <c r="E166" i="3" a="1"/>
  <c r="E166" i="3" s="1"/>
  <c r="F166" i="3" s="1"/>
  <c r="G164" i="3"/>
  <c r="G40" i="4"/>
  <c r="C46" i="4"/>
  <c r="E246" i="9" l="1" a="1"/>
  <c r="E246" i="9" s="1"/>
  <c r="D245" i="9"/>
  <c r="L48" i="9" s="1"/>
  <c r="D46" i="4"/>
  <c r="L14" i="4" s="1"/>
  <c r="G166" i="3"/>
  <c r="M34" i="3"/>
  <c r="C167" i="3" a="1"/>
  <c r="K34" i="3"/>
  <c r="B35" i="5" s="1"/>
  <c r="E245" i="9" l="1" a="1"/>
  <c r="E245" i="9" s="1"/>
  <c r="F245" i="9" s="1"/>
  <c r="G245" i="9" s="1"/>
  <c r="E247" i="9" a="1"/>
  <c r="E247" i="9" s="1"/>
  <c r="F246" i="9"/>
  <c r="G246" i="9" s="1"/>
  <c r="P46" i="4"/>
  <c r="C167" i="3"/>
  <c r="D169" i="3"/>
  <c r="D172" i="3"/>
  <c r="D168" i="3"/>
  <c r="D170" i="3"/>
  <c r="D171" i="3"/>
  <c r="F247" i="9" l="1"/>
  <c r="G247" i="9" s="1"/>
  <c r="E248" i="9" a="1"/>
  <c r="E248" i="9" s="1"/>
  <c r="F248" i="9" s="1"/>
  <c r="G248" i="9" s="1"/>
  <c r="D167" i="3"/>
  <c r="L35" i="3" s="1"/>
  <c r="E249" i="9" l="1" a="1"/>
  <c r="E249" i="9" s="1"/>
  <c r="E167" i="3" a="1"/>
  <c r="E167" i="3" s="1"/>
  <c r="F249" i="9" l="1"/>
  <c r="E250" i="9" a="1"/>
  <c r="E250" i="9" s="1"/>
  <c r="F250" i="9" s="1"/>
  <c r="E168" i="3" a="1"/>
  <c r="E168" i="3" s="1"/>
  <c r="F168" i="3" s="1"/>
  <c r="G168" i="3" s="1"/>
  <c r="F167" i="3"/>
  <c r="G249" i="9" l="1"/>
  <c r="C251" i="9" a="1"/>
  <c r="K48" i="9"/>
  <c r="G250" i="9"/>
  <c r="M48" i="9"/>
  <c r="G167" i="3"/>
  <c r="E169" i="3" a="1"/>
  <c r="E169" i="3" s="1"/>
  <c r="C251" i="9" l="1"/>
  <c r="D252" i="9"/>
  <c r="E252" i="9" s="1" a="1"/>
  <c r="E252" i="9" s="1"/>
  <c r="F252" i="9" s="1"/>
  <c r="G252" i="9" s="1"/>
  <c r="D253" i="9"/>
  <c r="D255" i="9"/>
  <c r="D256" i="9"/>
  <c r="D254" i="9"/>
  <c r="F169" i="3"/>
  <c r="E170" i="3" a="1"/>
  <c r="E170" i="3" s="1"/>
  <c r="D251" i="9" l="1"/>
  <c r="L49" i="9" s="1"/>
  <c r="E253" i="9" a="1"/>
  <c r="E253" i="9" s="1"/>
  <c r="F170" i="3"/>
  <c r="G170" i="3" s="1"/>
  <c r="E171" i="3" a="1"/>
  <c r="E171" i="3" s="1"/>
  <c r="G169" i="3"/>
  <c r="E251" i="9" l="1" a="1"/>
  <c r="E251" i="9" s="1"/>
  <c r="F251" i="9" s="1"/>
  <c r="G251" i="9" s="1"/>
  <c r="F253" i="9"/>
  <c r="G253" i="9" s="1"/>
  <c r="E254" i="9" a="1"/>
  <c r="E254" i="9" s="1"/>
  <c r="F254" i="9" s="1"/>
  <c r="G254" i="9" s="1"/>
  <c r="F171" i="3"/>
  <c r="E172" i="3" a="1"/>
  <c r="E172" i="3" s="1"/>
  <c r="F172" i="3" s="1"/>
  <c r="E255" i="9" l="1" a="1"/>
  <c r="E255" i="9" s="1"/>
  <c r="G171" i="3"/>
  <c r="K35" i="3"/>
  <c r="B36" i="5" s="1"/>
  <c r="C173" i="3" a="1"/>
  <c r="G172" i="3"/>
  <c r="M35" i="3"/>
  <c r="F255" i="9" l="1"/>
  <c r="E256" i="9" a="1"/>
  <c r="E256" i="9" s="1"/>
  <c r="F256" i="9" s="1"/>
  <c r="C173" i="3"/>
  <c r="D176" i="3"/>
  <c r="D177" i="3"/>
  <c r="D174" i="3"/>
  <c r="D178" i="3"/>
  <c r="D175" i="3"/>
  <c r="G256" i="9" l="1"/>
  <c r="M49" i="9"/>
  <c r="G255" i="9"/>
  <c r="C257" i="9" a="1"/>
  <c r="K49" i="9"/>
  <c r="D173" i="3"/>
  <c r="L36" i="3" s="1"/>
  <c r="E41" i="4"/>
  <c r="E42" i="4" s="1"/>
  <c r="C257" i="9" l="1"/>
  <c r="D261" i="9"/>
  <c r="D262" i="9"/>
  <c r="D258" i="9"/>
  <c r="D260" i="9"/>
  <c r="D259" i="9"/>
  <c r="E173" i="3" a="1"/>
  <c r="E173" i="3" s="1"/>
  <c r="E174" i="3" s="1" a="1"/>
  <c r="E174" i="3" s="1"/>
  <c r="F174" i="3" s="1"/>
  <c r="G174" i="3" s="1"/>
  <c r="F41" i="4"/>
  <c r="E43" i="4"/>
  <c r="F42" i="4"/>
  <c r="E258" i="9" l="1" a="1"/>
  <c r="E258" i="9" s="1"/>
  <c r="E259" i="9" s="1" a="1"/>
  <c r="E259" i="9" s="1"/>
  <c r="F259" i="9" s="1"/>
  <c r="G259" i="9" s="1"/>
  <c r="D257" i="9"/>
  <c r="L50" i="9" s="1"/>
  <c r="G41" i="4"/>
  <c r="C10" i="5"/>
  <c r="F173" i="3"/>
  <c r="G173" i="3" s="1"/>
  <c r="E175" i="3" a="1"/>
  <c r="E175" i="3" s="1"/>
  <c r="C47" i="4"/>
  <c r="E44" i="4"/>
  <c r="F44" i="4" s="1"/>
  <c r="G42" i="4"/>
  <c r="C48" i="4"/>
  <c r="F43" i="4"/>
  <c r="E257" i="9" l="1" a="1"/>
  <c r="E257" i="9" s="1"/>
  <c r="F257" i="9" s="1"/>
  <c r="G257" i="9" s="1"/>
  <c r="F258" i="9"/>
  <c r="G258" i="9" s="1"/>
  <c r="E260" i="9" a="1"/>
  <c r="E260" i="9" s="1"/>
  <c r="F260" i="9" s="1"/>
  <c r="G260" i="9" s="1"/>
  <c r="D47" i="4"/>
  <c r="F175" i="3"/>
  <c r="E176" i="3" a="1"/>
  <c r="E176" i="3" s="1"/>
  <c r="G44" i="4"/>
  <c r="C50" i="4"/>
  <c r="D48" i="4"/>
  <c r="C49" i="4"/>
  <c r="G43" i="4"/>
  <c r="E45" i="4"/>
  <c r="F45" i="4" s="1"/>
  <c r="E261" i="9" l="1" a="1"/>
  <c r="E261" i="9" s="1"/>
  <c r="P48" i="4"/>
  <c r="P47" i="4"/>
  <c r="F176" i="3"/>
  <c r="G176" i="3" s="1"/>
  <c r="E177" i="3" a="1"/>
  <c r="E177" i="3" s="1"/>
  <c r="G175" i="3"/>
  <c r="D49" i="4"/>
  <c r="P49" i="4" s="1"/>
  <c r="D50" i="4"/>
  <c r="P50" i="4" s="1"/>
  <c r="G45" i="4"/>
  <c r="C51" i="4"/>
  <c r="E46" i="4"/>
  <c r="F46" i="4" s="1"/>
  <c r="K14" i="4" s="1"/>
  <c r="F261" i="9" l="1"/>
  <c r="E262" i="9" a="1"/>
  <c r="E262" i="9" s="1"/>
  <c r="F262" i="9" s="1"/>
  <c r="M14" i="4"/>
  <c r="F177" i="3"/>
  <c r="E178" i="3" a="1"/>
  <c r="E178" i="3" s="1"/>
  <c r="F178" i="3" s="1"/>
  <c r="G46" i="4"/>
  <c r="C52" i="4"/>
  <c r="D51" i="4"/>
  <c r="P51" i="4" s="1"/>
  <c r="G262" i="9" l="1"/>
  <c r="M50" i="9"/>
  <c r="G261" i="9"/>
  <c r="K50" i="9"/>
  <c r="C263" i="9" a="1"/>
  <c r="G178" i="3"/>
  <c r="M36" i="3"/>
  <c r="G177" i="3"/>
  <c r="C179" i="3" a="1"/>
  <c r="K36" i="3"/>
  <c r="B37" i="5" s="1"/>
  <c r="D52" i="4"/>
  <c r="L15" i="4" s="1"/>
  <c r="C263" i="9" l="1"/>
  <c r="D268" i="9"/>
  <c r="D266" i="9"/>
  <c r="D265" i="9"/>
  <c r="D264" i="9"/>
  <c r="E264" i="9" s="1" a="1"/>
  <c r="E264" i="9" s="1"/>
  <c r="D267" i="9"/>
  <c r="P52" i="4"/>
  <c r="E47" i="4" s="1"/>
  <c r="F47" i="4" s="1"/>
  <c r="C179" i="3"/>
  <c r="D182" i="3"/>
  <c r="D180" i="3"/>
  <c r="D181" i="3"/>
  <c r="D183" i="3"/>
  <c r="D184" i="3"/>
  <c r="F264" i="9" l="1"/>
  <c r="G264" i="9" s="1"/>
  <c r="E265" i="9" a="1"/>
  <c r="E265" i="9" s="1"/>
  <c r="D263" i="9"/>
  <c r="L51" i="9" s="1"/>
  <c r="C11" i="5"/>
  <c r="D179" i="3"/>
  <c r="L37" i="3" s="1"/>
  <c r="E48" i="4"/>
  <c r="F48" i="4" s="1"/>
  <c r="C53" i="4"/>
  <c r="G47" i="4"/>
  <c r="E266" i="9" l="1" a="1"/>
  <c r="E266" i="9" s="1"/>
  <c r="F266" i="9" s="1"/>
  <c r="G266" i="9" s="1"/>
  <c r="E263" i="9" a="1"/>
  <c r="E263" i="9" s="1"/>
  <c r="F263" i="9" s="1"/>
  <c r="F265" i="9"/>
  <c r="G265" i="9" s="1"/>
  <c r="C54" i="4"/>
  <c r="D54" i="4" s="1"/>
  <c r="E179" i="3" a="1"/>
  <c r="E179" i="3" s="1"/>
  <c r="F179" i="3" s="1"/>
  <c r="G48" i="4"/>
  <c r="E49" i="4"/>
  <c r="F49" i="4" s="1"/>
  <c r="D53" i="4"/>
  <c r="G263" i="9" l="1"/>
  <c r="E267" i="9" a="1"/>
  <c r="E267" i="9" s="1"/>
  <c r="C55" i="4"/>
  <c r="D55" i="4" s="1"/>
  <c r="P53" i="4"/>
  <c r="P54" i="4"/>
  <c r="G179" i="3"/>
  <c r="E180" i="3" a="1"/>
  <c r="E180" i="3" s="1"/>
  <c r="F180" i="3" s="1"/>
  <c r="G180" i="3" s="1"/>
  <c r="G49" i="4"/>
  <c r="E50" i="4"/>
  <c r="F50" i="4" s="1"/>
  <c r="F267" i="9" l="1"/>
  <c r="E268" i="9" a="1"/>
  <c r="E268" i="9" s="1"/>
  <c r="F268" i="9" s="1"/>
  <c r="P55" i="4"/>
  <c r="C56" i="4"/>
  <c r="D56" i="4" s="1"/>
  <c r="E181" i="3" a="1"/>
  <c r="E181" i="3" s="1"/>
  <c r="F181" i="3" s="1"/>
  <c r="G181" i="3" s="1"/>
  <c r="G50" i="4"/>
  <c r="E51" i="4"/>
  <c r="F51" i="4" s="1"/>
  <c r="G268" i="9" l="1"/>
  <c r="M51" i="9"/>
  <c r="G267" i="9"/>
  <c r="C269" i="9" a="1"/>
  <c r="K51" i="9"/>
  <c r="C57" i="4"/>
  <c r="D57" i="4" s="1"/>
  <c r="P57" i="4" s="1"/>
  <c r="P56" i="4"/>
  <c r="E182" i="3" a="1"/>
  <c r="E182" i="3" s="1"/>
  <c r="F182" i="3" s="1"/>
  <c r="G182" i="3" s="1"/>
  <c r="E52" i="4"/>
  <c r="F52" i="4" s="1"/>
  <c r="K15" i="4" s="1"/>
  <c r="G51" i="4"/>
  <c r="C269" i="9" l="1"/>
  <c r="D270" i="9"/>
  <c r="D274" i="9"/>
  <c r="D271" i="9"/>
  <c r="D272" i="9"/>
  <c r="D273" i="9"/>
  <c r="M15" i="4"/>
  <c r="C58" i="4"/>
  <c r="D58" i="4" s="1"/>
  <c r="L16" i="4" s="1"/>
  <c r="E183" i="3" a="1"/>
  <c r="E183" i="3" s="1"/>
  <c r="F183" i="3" s="1"/>
  <c r="G183" i="3" s="1"/>
  <c r="G52" i="4"/>
  <c r="D269" i="9" l="1"/>
  <c r="L52" i="9" s="1"/>
  <c r="E270" i="9" a="1"/>
  <c r="E270" i="9" s="1"/>
  <c r="P58" i="4"/>
  <c r="E53" i="4" s="1"/>
  <c r="F53" i="4" s="1"/>
  <c r="E184" i="3" a="1"/>
  <c r="E184" i="3" s="1"/>
  <c r="F184" i="3" s="1"/>
  <c r="E269" i="9" l="1" a="1"/>
  <c r="E269" i="9" s="1"/>
  <c r="F269" i="9" s="1"/>
  <c r="G269" i="9" s="1"/>
  <c r="E271" i="9" a="1"/>
  <c r="E271" i="9" s="1"/>
  <c r="F270" i="9"/>
  <c r="G270" i="9" s="1"/>
  <c r="C12" i="5"/>
  <c r="K37" i="3"/>
  <c r="B38" i="5" s="1"/>
  <c r="G184" i="3"/>
  <c r="M37" i="3"/>
  <c r="C185" i="3" a="1"/>
  <c r="G53" i="4"/>
  <c r="C59" i="4"/>
  <c r="E54" i="4"/>
  <c r="F271" i="9" l="1"/>
  <c r="G271" i="9" s="1"/>
  <c r="E272" i="9" a="1"/>
  <c r="E272" i="9" s="1"/>
  <c r="F272" i="9" s="1"/>
  <c r="G272" i="9" s="1"/>
  <c r="D187" i="3"/>
  <c r="D190" i="3"/>
  <c r="D188" i="3"/>
  <c r="C185" i="3"/>
  <c r="D189" i="3"/>
  <c r="D186" i="3"/>
  <c r="E55" i="4"/>
  <c r="F55" i="4" s="1"/>
  <c r="D59" i="4"/>
  <c r="F54" i="4"/>
  <c r="E273" i="9" l="1" a="1"/>
  <c r="E273" i="9" s="1"/>
  <c r="F273" i="9" s="1"/>
  <c r="G273" i="9" s="1"/>
  <c r="P59" i="4"/>
  <c r="D185" i="3"/>
  <c r="L38" i="3" s="1"/>
  <c r="C60" i="4"/>
  <c r="G54" i="4"/>
  <c r="C61" i="4"/>
  <c r="G55" i="4"/>
  <c r="E56" i="4"/>
  <c r="F56" i="4" s="1"/>
  <c r="E274" i="9" l="1" a="1"/>
  <c r="E274" i="9" s="1"/>
  <c r="F274" i="9" s="1"/>
  <c r="C275" i="9" s="1" a="1"/>
  <c r="E185" i="3" a="1"/>
  <c r="E185" i="3" s="1"/>
  <c r="D61" i="4"/>
  <c r="P61" i="4" s="1"/>
  <c r="E57" i="4"/>
  <c r="F57" i="4" s="1"/>
  <c r="D60" i="4"/>
  <c r="C62" i="4"/>
  <c r="G56" i="4"/>
  <c r="C275" i="9" l="1"/>
  <c r="D280" i="9"/>
  <c r="D276" i="9"/>
  <c r="E276" i="9" s="1" a="1"/>
  <c r="E276" i="9" s="1"/>
  <c r="D278" i="9"/>
  <c r="D279" i="9"/>
  <c r="D277" i="9"/>
  <c r="G274" i="9"/>
  <c r="M52" i="9"/>
  <c r="K52" i="9"/>
  <c r="P60" i="4"/>
  <c r="E186" i="3" a="1"/>
  <c r="E186" i="3" s="1"/>
  <c r="F186" i="3" s="1"/>
  <c r="G186" i="3" s="1"/>
  <c r="F185" i="3"/>
  <c r="G185" i="3" s="1"/>
  <c r="E58" i="4"/>
  <c r="F58" i="4" s="1"/>
  <c r="K16" i="4" s="1"/>
  <c r="D62" i="4"/>
  <c r="P62" i="4" s="1"/>
  <c r="G57" i="4"/>
  <c r="C63" i="4"/>
  <c r="F276" i="9" l="1"/>
  <c r="G276" i="9" s="1"/>
  <c r="D275" i="9"/>
  <c r="L53" i="9" s="1"/>
  <c r="E277" i="9" a="1"/>
  <c r="E277" i="9" s="1"/>
  <c r="F277" i="9" s="1"/>
  <c r="G277" i="9" s="1"/>
  <c r="M16" i="4"/>
  <c r="E187" i="3" a="1"/>
  <c r="E187" i="3" s="1"/>
  <c r="F187" i="3" s="1"/>
  <c r="G187" i="3" s="1"/>
  <c r="C64" i="4"/>
  <c r="G58" i="4"/>
  <c r="D63" i="4"/>
  <c r="P63" i="4" s="1"/>
  <c r="E275" i="9" l="1" a="1"/>
  <c r="E275" i="9" s="1"/>
  <c r="F275" i="9" s="1"/>
  <c r="G275" i="9" s="1"/>
  <c r="E278" i="9" a="1"/>
  <c r="E278" i="9" s="1"/>
  <c r="F278" i="9" s="1"/>
  <c r="G278" i="9" s="1"/>
  <c r="E188" i="3" a="1"/>
  <c r="E188" i="3" s="1"/>
  <c r="F188" i="3" s="1"/>
  <c r="G188" i="3" s="1"/>
  <c r="D64" i="4"/>
  <c r="L17" i="4" s="1"/>
  <c r="E279" i="9" l="1" a="1"/>
  <c r="E279" i="9" s="1"/>
  <c r="F279" i="9" s="1"/>
  <c r="G279" i="9" s="1"/>
  <c r="P64" i="4"/>
  <c r="E189" i="3" a="1"/>
  <c r="E189" i="3" s="1"/>
  <c r="F189" i="3" s="1"/>
  <c r="G189" i="3" s="1"/>
  <c r="E280" i="9" l="1" a="1"/>
  <c r="E280" i="9" s="1"/>
  <c r="F280" i="9" s="1"/>
  <c r="K53" i="9" s="1"/>
  <c r="E190" i="3" a="1"/>
  <c r="E190" i="3" s="1"/>
  <c r="F190" i="3" s="1"/>
  <c r="G280" i="9" l="1"/>
  <c r="M53" i="9"/>
  <c r="C281" i="9" a="1"/>
  <c r="G190" i="3"/>
  <c r="M38" i="3"/>
  <c r="K38" i="3"/>
  <c r="B39" i="5" s="1"/>
  <c r="C191" i="3" a="1"/>
  <c r="C281" i="9" l="1"/>
  <c r="D285" i="9"/>
  <c r="D283" i="9"/>
  <c r="D284" i="9"/>
  <c r="D286" i="9"/>
  <c r="D282" i="9"/>
  <c r="D196" i="3"/>
  <c r="D194" i="3"/>
  <c r="D195" i="3"/>
  <c r="C191" i="3"/>
  <c r="D192" i="3"/>
  <c r="D193" i="3"/>
  <c r="E59" i="4"/>
  <c r="F59" i="4" s="1"/>
  <c r="D281" i="9" l="1"/>
  <c r="L54" i="9" s="1"/>
  <c r="E282" i="9" a="1"/>
  <c r="E282" i="9" s="1"/>
  <c r="G59" i="4"/>
  <c r="C13" i="5"/>
  <c r="D191" i="3"/>
  <c r="L39" i="3" s="1"/>
  <c r="C65" i="4"/>
  <c r="E60" i="4"/>
  <c r="E281" i="9" l="1" a="1"/>
  <c r="E281" i="9" s="1"/>
  <c r="F281" i="9" s="1"/>
  <c r="G281" i="9" s="1"/>
  <c r="E283" i="9" a="1"/>
  <c r="E283" i="9" s="1"/>
  <c r="F283" i="9" s="1"/>
  <c r="G283" i="9" s="1"/>
  <c r="F282" i="9"/>
  <c r="G282" i="9" s="1"/>
  <c r="D65" i="4"/>
  <c r="E191" i="3" a="1"/>
  <c r="E191" i="3" s="1"/>
  <c r="F60" i="4"/>
  <c r="E61" i="4"/>
  <c r="F61" i="4" s="1"/>
  <c r="E284" i="9" l="1" a="1"/>
  <c r="E284" i="9" s="1"/>
  <c r="F284" i="9" s="1"/>
  <c r="G284" i="9" s="1"/>
  <c r="P65" i="4"/>
  <c r="F191" i="3"/>
  <c r="G191" i="3" s="1"/>
  <c r="E192" i="3" a="1"/>
  <c r="E192" i="3" s="1"/>
  <c r="F192" i="3" s="1"/>
  <c r="G192" i="3" s="1"/>
  <c r="G61" i="4"/>
  <c r="C67" i="4"/>
  <c r="C66" i="4"/>
  <c r="G60" i="4"/>
  <c r="E62" i="4"/>
  <c r="F62" i="4" s="1"/>
  <c r="E285" i="9" l="1" a="1"/>
  <c r="E285" i="9" s="1"/>
  <c r="E193" i="3" a="1"/>
  <c r="E193" i="3" s="1"/>
  <c r="E194" i="3" s="1" a="1"/>
  <c r="E194" i="3" s="1"/>
  <c r="F194" i="3" s="1"/>
  <c r="G194" i="3" s="1"/>
  <c r="E63" i="4"/>
  <c r="F63" i="4" s="1"/>
  <c r="D67" i="4"/>
  <c r="P67" i="4" s="1"/>
  <c r="D66" i="4"/>
  <c r="G62" i="4"/>
  <c r="C68" i="4"/>
  <c r="F285" i="9" l="1"/>
  <c r="E286" i="9" a="1"/>
  <c r="E286" i="9" s="1"/>
  <c r="F286" i="9" s="1"/>
  <c r="P66" i="4"/>
  <c r="F193" i="3"/>
  <c r="E195" i="3" a="1"/>
  <c r="E195" i="3" s="1"/>
  <c r="F195" i="3" s="1"/>
  <c r="G195" i="3" s="1"/>
  <c r="D68" i="4"/>
  <c r="P68" i="4" s="1"/>
  <c r="G63" i="4"/>
  <c r="C69" i="4"/>
  <c r="E64" i="4"/>
  <c r="F64" i="4" s="1"/>
  <c r="K17" i="4" s="1"/>
  <c r="G286" i="9" l="1"/>
  <c r="M54" i="9"/>
  <c r="G285" i="9"/>
  <c r="C287" i="9" a="1"/>
  <c r="K54" i="9"/>
  <c r="M17" i="4"/>
  <c r="E196" i="3" a="1"/>
  <c r="E196" i="3" s="1"/>
  <c r="F196" i="3" s="1"/>
  <c r="K39" i="3" s="1"/>
  <c r="B40" i="5" s="1"/>
  <c r="G193" i="3"/>
  <c r="C70" i="4"/>
  <c r="G64" i="4"/>
  <c r="D69" i="4"/>
  <c r="P69" i="4" s="1"/>
  <c r="C287" i="9" l="1"/>
  <c r="D290" i="9"/>
  <c r="D291" i="9"/>
  <c r="D288" i="9"/>
  <c r="E288" i="9" s="1" a="1"/>
  <c r="E288" i="9" s="1"/>
  <c r="D292" i="9"/>
  <c r="D289" i="9"/>
  <c r="C197" i="3" a="1"/>
  <c r="D199" i="3" s="1"/>
  <c r="G196" i="3"/>
  <c r="M39" i="3"/>
  <c r="D70" i="4"/>
  <c r="L18" i="4" s="1"/>
  <c r="F288" i="9" l="1"/>
  <c r="G288" i="9" s="1"/>
  <c r="E289" i="9" a="1"/>
  <c r="E289" i="9" s="1"/>
  <c r="F289" i="9" s="1"/>
  <c r="G289" i="9" s="1"/>
  <c r="D287" i="9"/>
  <c r="L55" i="9" s="1"/>
  <c r="P70" i="4"/>
  <c r="E65" i="4" s="1"/>
  <c r="D201" i="3"/>
  <c r="D198" i="3"/>
  <c r="D200" i="3"/>
  <c r="D202" i="3"/>
  <c r="C197" i="3"/>
  <c r="D197" i="3" s="1"/>
  <c r="E290" i="9" l="1" a="1"/>
  <c r="E290" i="9" s="1"/>
  <c r="F290" i="9" s="1"/>
  <c r="G290" i="9" s="1"/>
  <c r="E287" i="9" a="1"/>
  <c r="E287" i="9" s="1"/>
  <c r="F287" i="9" s="1"/>
  <c r="L40" i="3"/>
  <c r="E197" i="3" a="1"/>
  <c r="E197" i="3" s="1"/>
  <c r="F197" i="3" s="1"/>
  <c r="G197" i="3" s="1"/>
  <c r="F65" i="4"/>
  <c r="E66" i="4"/>
  <c r="F66" i="4" s="1"/>
  <c r="G287" i="9" l="1"/>
  <c r="E291" i="9" a="1"/>
  <c r="E291" i="9" s="1"/>
  <c r="C14" i="5"/>
  <c r="E198" i="3" a="1"/>
  <c r="E198" i="3" s="1"/>
  <c r="F198" i="3" s="1"/>
  <c r="G198" i="3" s="1"/>
  <c r="E67" i="4"/>
  <c r="F67" i="4" s="1"/>
  <c r="G66" i="4"/>
  <c r="C72" i="4"/>
  <c r="C71" i="4"/>
  <c r="G65" i="4"/>
  <c r="F291" i="9" l="1"/>
  <c r="E292" i="9" a="1"/>
  <c r="E292" i="9" s="1"/>
  <c r="F292" i="9" s="1"/>
  <c r="E199" i="3" a="1"/>
  <c r="E199" i="3" s="1"/>
  <c r="E200" i="3" s="1" a="1"/>
  <c r="E200" i="3" s="1"/>
  <c r="F200" i="3" s="1"/>
  <c r="G200" i="3" s="1"/>
  <c r="D71" i="4"/>
  <c r="D72" i="4"/>
  <c r="G67" i="4"/>
  <c r="C73" i="4"/>
  <c r="E68" i="4"/>
  <c r="F68" i="4" s="1"/>
  <c r="G292" i="9" l="1"/>
  <c r="M55" i="9"/>
  <c r="G291" i="9"/>
  <c r="C293" i="9" a="1"/>
  <c r="K55" i="9"/>
  <c r="P72" i="4"/>
  <c r="P71" i="4"/>
  <c r="E201" i="3" a="1"/>
  <c r="E201" i="3" s="1"/>
  <c r="F201" i="3" s="1"/>
  <c r="G201" i="3" s="1"/>
  <c r="F199" i="3"/>
  <c r="G199" i="3" s="1"/>
  <c r="C74" i="4"/>
  <c r="G68" i="4"/>
  <c r="D73" i="4"/>
  <c r="P73" i="4" s="1"/>
  <c r="E69" i="4"/>
  <c r="F69" i="4" s="1"/>
  <c r="C293" i="9" l="1"/>
  <c r="D295" i="9"/>
  <c r="D297" i="9"/>
  <c r="D298" i="9"/>
  <c r="D294" i="9"/>
  <c r="D296" i="9"/>
  <c r="E202" i="3" a="1"/>
  <c r="E202" i="3" s="1"/>
  <c r="F202" i="3" s="1"/>
  <c r="C203" i="3" s="1" a="1"/>
  <c r="D74" i="4"/>
  <c r="E70" i="4"/>
  <c r="F70" i="4" s="1"/>
  <c r="K18" i="4" s="1"/>
  <c r="C75" i="4"/>
  <c r="G69" i="4"/>
  <c r="E294" i="9" l="1" a="1"/>
  <c r="E294" i="9" s="1"/>
  <c r="F294" i="9" s="1"/>
  <c r="G294" i="9" s="1"/>
  <c r="D293" i="9"/>
  <c r="L56" i="9" s="1"/>
  <c r="M18" i="4"/>
  <c r="P74" i="4"/>
  <c r="M40" i="3"/>
  <c r="G202" i="3"/>
  <c r="K40" i="3"/>
  <c r="B41" i="5" s="1"/>
  <c r="C203" i="3"/>
  <c r="D207" i="3"/>
  <c r="D204" i="3"/>
  <c r="D205" i="3"/>
  <c r="D206" i="3"/>
  <c r="D208" i="3"/>
  <c r="D75" i="4"/>
  <c r="P75" i="4" s="1"/>
  <c r="C76" i="4"/>
  <c r="G70" i="4"/>
  <c r="E293" i="9" l="1" a="1"/>
  <c r="E293" i="9" s="1"/>
  <c r="F293" i="9" s="1"/>
  <c r="G293" i="9" s="1"/>
  <c r="E295" i="9" a="1"/>
  <c r="E295" i="9" s="1"/>
  <c r="F295" i="9" s="1"/>
  <c r="G295" i="9" s="1"/>
  <c r="D203" i="3"/>
  <c r="L41" i="3" s="1"/>
  <c r="D76" i="4"/>
  <c r="L19" i="4" s="1"/>
  <c r="E296" i="9" l="1" a="1"/>
  <c r="E296" i="9" s="1"/>
  <c r="F296" i="9" s="1"/>
  <c r="G296" i="9" s="1"/>
  <c r="P76" i="4"/>
  <c r="E71" i="4" s="1"/>
  <c r="F71" i="4" s="1"/>
  <c r="E203" i="3" a="1"/>
  <c r="E203" i="3" s="1"/>
  <c r="E297" i="9" l="1" a="1"/>
  <c r="E297" i="9" s="1"/>
  <c r="F297" i="9" s="1"/>
  <c r="G297" i="9" s="1"/>
  <c r="C15" i="5"/>
  <c r="E204" i="3" a="1"/>
  <c r="E204" i="3" s="1"/>
  <c r="F204" i="3" s="1"/>
  <c r="G204" i="3" s="1"/>
  <c r="F203" i="3"/>
  <c r="G71" i="4"/>
  <c r="C77" i="4"/>
  <c r="E72" i="4"/>
  <c r="E298" i="9" l="1" a="1"/>
  <c r="E298" i="9" s="1"/>
  <c r="F298" i="9" s="1"/>
  <c r="G203" i="3"/>
  <c r="E205" i="3" a="1"/>
  <c r="E205" i="3" s="1"/>
  <c r="F72" i="4"/>
  <c r="E73" i="4"/>
  <c r="F73" i="4" s="1"/>
  <c r="D77" i="4"/>
  <c r="K56" i="9" l="1"/>
  <c r="M56" i="9"/>
  <c r="G298" i="9"/>
  <c r="C299" i="9" a="1"/>
  <c r="P77" i="4"/>
  <c r="F205" i="3"/>
  <c r="E206" i="3" a="1"/>
  <c r="E206" i="3" s="1"/>
  <c r="E74" i="4"/>
  <c r="F74" i="4" s="1"/>
  <c r="G73" i="4"/>
  <c r="C79" i="4"/>
  <c r="C78" i="4"/>
  <c r="G72" i="4"/>
  <c r="C299" i="9" l="1"/>
  <c r="D299" i="9" s="1"/>
  <c r="E299" i="9" s="1" a="1"/>
  <c r="E299" i="9" s="1"/>
  <c r="F299" i="9" s="1"/>
  <c r="D303" i="9"/>
  <c r="D301" i="9"/>
  <c r="D300" i="9"/>
  <c r="D304" i="9"/>
  <c r="D302" i="9"/>
  <c r="F206" i="3"/>
  <c r="G206" i="3" s="1"/>
  <c r="E207" i="3" a="1"/>
  <c r="E207" i="3" s="1"/>
  <c r="G205" i="3"/>
  <c r="D78" i="4"/>
  <c r="E75" i="4"/>
  <c r="F75" i="4" s="1"/>
  <c r="D79" i="4"/>
  <c r="P79" i="4" s="1"/>
  <c r="C80" i="4"/>
  <c r="G74" i="4"/>
  <c r="E300" i="9" l="1" a="1"/>
  <c r="E300" i="9" s="1"/>
  <c r="F300" i="9" s="1"/>
  <c r="G300" i="9" s="1"/>
  <c r="L57" i="9"/>
  <c r="G299" i="9"/>
  <c r="P78" i="4"/>
  <c r="F207" i="3"/>
  <c r="E208" i="3" a="1"/>
  <c r="E208" i="3" s="1"/>
  <c r="F208" i="3" s="1"/>
  <c r="E76" i="4"/>
  <c r="F76" i="4" s="1"/>
  <c r="K19" i="4" s="1"/>
  <c r="D80" i="4"/>
  <c r="P80" i="4" s="1"/>
  <c r="C81" i="4"/>
  <c r="G75" i="4"/>
  <c r="E301" i="9" l="1" a="1"/>
  <c r="E301" i="9" s="1"/>
  <c r="F301" i="9" s="1"/>
  <c r="G301" i="9" s="1"/>
  <c r="M19" i="4"/>
  <c r="G208" i="3"/>
  <c r="M41" i="3"/>
  <c r="G207" i="3"/>
  <c r="C209" i="3" a="1"/>
  <c r="K41" i="3"/>
  <c r="B42" i="5" s="1"/>
  <c r="G76" i="4"/>
  <c r="C82" i="4"/>
  <c r="D81" i="4"/>
  <c r="P81" i="4" s="1"/>
  <c r="E302" i="9" l="1" a="1"/>
  <c r="E302" i="9" s="1"/>
  <c r="F302" i="9" s="1"/>
  <c r="G302" i="9" s="1"/>
  <c r="C209" i="3"/>
  <c r="D210" i="3"/>
  <c r="D214" i="3"/>
  <c r="D212" i="3"/>
  <c r="D213" i="3"/>
  <c r="D211" i="3"/>
  <c r="D82" i="4"/>
  <c r="L20" i="4" s="1"/>
  <c r="E303" i="9" l="1" a="1"/>
  <c r="E303" i="9" s="1"/>
  <c r="F303" i="9" s="1"/>
  <c r="G303" i="9" s="1"/>
  <c r="P82" i="4"/>
  <c r="E77" i="4" s="1"/>
  <c r="D209" i="3"/>
  <c r="L42" i="3" s="1"/>
  <c r="E304" i="9" l="1" a="1"/>
  <c r="E304" i="9" s="1"/>
  <c r="F304" i="9" s="1"/>
  <c r="K57" i="9" s="1"/>
  <c r="E209" i="3" a="1"/>
  <c r="E209" i="3" s="1"/>
  <c r="E210" i="3" s="1" a="1"/>
  <c r="E210" i="3" s="1"/>
  <c r="F210" i="3" s="1"/>
  <c r="G210" i="3" s="1"/>
  <c r="F77" i="4"/>
  <c r="E78" i="4"/>
  <c r="F78" i="4" s="1"/>
  <c r="C305" i="9" l="1" a="1"/>
  <c r="G304" i="9"/>
  <c r="M57" i="9"/>
  <c r="C16" i="5"/>
  <c r="F209" i="3"/>
  <c r="G209" i="3" s="1"/>
  <c r="E211" i="3" a="1"/>
  <c r="E211" i="3" s="1"/>
  <c r="C84" i="4"/>
  <c r="G78" i="4"/>
  <c r="E79" i="4"/>
  <c r="F79" i="4" s="1"/>
  <c r="C83" i="4"/>
  <c r="G77" i="4"/>
  <c r="D306" i="9" l="1"/>
  <c r="E306" i="9" s="1" a="1"/>
  <c r="E306" i="9" s="1"/>
  <c r="F306" i="9" s="1"/>
  <c r="G306" i="9" s="1"/>
  <c r="D309" i="9"/>
  <c r="C305" i="9"/>
  <c r="D307" i="9"/>
  <c r="D310" i="9"/>
  <c r="D308" i="9"/>
  <c r="F211" i="3"/>
  <c r="E212" i="3" a="1"/>
  <c r="E212" i="3" s="1"/>
  <c r="F212" i="3" s="1"/>
  <c r="G212" i="3" s="1"/>
  <c r="G79" i="4"/>
  <c r="C85" i="4"/>
  <c r="D84" i="4"/>
  <c r="E80" i="4"/>
  <c r="F80" i="4" s="1"/>
  <c r="D83" i="4"/>
  <c r="E307" i="9" l="1" a="1"/>
  <c r="E307" i="9" s="1"/>
  <c r="F307" i="9" s="1"/>
  <c r="G307" i="9" s="1"/>
  <c r="D305" i="9"/>
  <c r="L58" i="9" s="1"/>
  <c r="P84" i="4"/>
  <c r="P83" i="4"/>
  <c r="E213" i="3" a="1"/>
  <c r="E213" i="3" s="1"/>
  <c r="F213" i="3" s="1"/>
  <c r="G213" i="3" s="1"/>
  <c r="G211" i="3"/>
  <c r="C86" i="4"/>
  <c r="G80" i="4"/>
  <c r="D85" i="4"/>
  <c r="P85" i="4" s="1"/>
  <c r="E81" i="4"/>
  <c r="E305" i="9" l="1" a="1"/>
  <c r="E305" i="9" s="1"/>
  <c r="F305" i="9" s="1"/>
  <c r="G305" i="9" s="1"/>
  <c r="E308" i="9" a="1"/>
  <c r="E308" i="9" s="1"/>
  <c r="F308" i="9" s="1"/>
  <c r="G308" i="9" s="1"/>
  <c r="E214" i="3" a="1"/>
  <c r="E214" i="3" s="1"/>
  <c r="F214" i="3" s="1"/>
  <c r="G214" i="3" s="1"/>
  <c r="F81" i="4"/>
  <c r="E82" i="4"/>
  <c r="F82" i="4" s="1"/>
  <c r="K20" i="4" s="1"/>
  <c r="D86" i="4"/>
  <c r="E309" i="9" l="1" a="1"/>
  <c r="E309" i="9" s="1"/>
  <c r="F309" i="9" s="1"/>
  <c r="M20" i="4"/>
  <c r="P86" i="4"/>
  <c r="C215" i="3" a="1"/>
  <c r="C215" i="3" s="1"/>
  <c r="K42" i="3"/>
  <c r="B43" i="5" s="1"/>
  <c r="M42" i="3"/>
  <c r="C88" i="4"/>
  <c r="G82" i="4"/>
  <c r="G81" i="4"/>
  <c r="C87" i="4"/>
  <c r="G309" i="9" l="1"/>
  <c r="E310" i="9" a="1"/>
  <c r="E310" i="9" s="1"/>
  <c r="F310" i="9" s="1"/>
  <c r="K58" i="9" s="1"/>
  <c r="D217" i="3"/>
  <c r="D220" i="3"/>
  <c r="D219" i="3"/>
  <c r="D216" i="3"/>
  <c r="D218" i="3"/>
  <c r="D215" i="3"/>
  <c r="D87" i="4"/>
  <c r="D88" i="4"/>
  <c r="P88" i="4" s="1"/>
  <c r="G310" i="9" l="1"/>
  <c r="M58" i="9"/>
  <c r="C311" i="9" a="1"/>
  <c r="L21" i="4"/>
  <c r="P87" i="4"/>
  <c r="L43" i="3"/>
  <c r="E215" i="3" a="1"/>
  <c r="E215" i="3" s="1"/>
  <c r="F215" i="3" s="1"/>
  <c r="E83" i="4"/>
  <c r="F83" i="4" s="1"/>
  <c r="D316" i="9" l="1"/>
  <c r="D314" i="9"/>
  <c r="C311" i="9"/>
  <c r="D313" i="9"/>
  <c r="D312" i="9"/>
  <c r="E312" i="9" s="1" a="1"/>
  <c r="E312" i="9" s="1"/>
  <c r="D315" i="9"/>
  <c r="C17" i="5"/>
  <c r="G215" i="3"/>
  <c r="E216" i="3" a="1"/>
  <c r="E216" i="3" s="1"/>
  <c r="F216" i="3" s="1"/>
  <c r="G216" i="3" s="1"/>
  <c r="C89" i="4"/>
  <c r="G83" i="4"/>
  <c r="E84" i="4"/>
  <c r="E313" i="9" l="1" a="1"/>
  <c r="E313" i="9" s="1"/>
  <c r="F313" i="9" s="1"/>
  <c r="G313" i="9" s="1"/>
  <c r="F312" i="9"/>
  <c r="G312" i="9" s="1"/>
  <c r="D311" i="9"/>
  <c r="L59" i="9" s="1"/>
  <c r="E217" i="3" a="1"/>
  <c r="E217" i="3" s="1"/>
  <c r="D89" i="4"/>
  <c r="E85" i="4"/>
  <c r="F85" i="4" s="1"/>
  <c r="F84" i="4"/>
  <c r="E314" i="9" l="1" a="1"/>
  <c r="E314" i="9" s="1"/>
  <c r="F314" i="9" s="1"/>
  <c r="G314" i="9" s="1"/>
  <c r="E311" i="9" a="1"/>
  <c r="E311" i="9" s="1"/>
  <c r="F311" i="9" s="1"/>
  <c r="G311" i="9" s="1"/>
  <c r="P89" i="4"/>
  <c r="F217" i="3"/>
  <c r="E218" i="3" a="1"/>
  <c r="E218" i="3" s="1"/>
  <c r="F218" i="3" s="1"/>
  <c r="G218" i="3" s="1"/>
  <c r="C90" i="4"/>
  <c r="G84" i="4"/>
  <c r="C91" i="4"/>
  <c r="G85" i="4"/>
  <c r="E86" i="4"/>
  <c r="F86" i="4" s="1"/>
  <c r="E315" i="9" l="1" a="1"/>
  <c r="E315" i="9" s="1"/>
  <c r="F315" i="9" s="1"/>
  <c r="G217" i="3"/>
  <c r="E219" i="3" a="1"/>
  <c r="E219" i="3" s="1"/>
  <c r="C92" i="4"/>
  <c r="G86" i="4"/>
  <c r="D91" i="4"/>
  <c r="P91" i="4" s="1"/>
  <c r="E87" i="4"/>
  <c r="F87" i="4" s="1"/>
  <c r="D90" i="4"/>
  <c r="E316" i="9" l="1" a="1"/>
  <c r="E316" i="9" s="1"/>
  <c r="F316" i="9" s="1"/>
  <c r="G316" i="9" s="1"/>
  <c r="G315" i="9"/>
  <c r="P90" i="4"/>
  <c r="F219" i="3"/>
  <c r="E220" i="3" a="1"/>
  <c r="E220" i="3" s="1"/>
  <c r="F220" i="3" s="1"/>
  <c r="C93" i="4"/>
  <c r="G87" i="4"/>
  <c r="E88" i="4"/>
  <c r="F88" i="4" s="1"/>
  <c r="K21" i="4" s="1"/>
  <c r="D92" i="4"/>
  <c r="P92" i="4" s="1"/>
  <c r="M59" i="9" l="1"/>
  <c r="C317" i="9" a="1"/>
  <c r="D321" i="9" s="1"/>
  <c r="K59" i="9"/>
  <c r="M21" i="4"/>
  <c r="G220" i="3"/>
  <c r="M43" i="3"/>
  <c r="G219" i="3"/>
  <c r="C221" i="3" a="1"/>
  <c r="K43" i="3"/>
  <c r="B44" i="5" s="1"/>
  <c r="D93" i="4"/>
  <c r="C94" i="4"/>
  <c r="G88" i="4"/>
  <c r="D319" i="9" l="1"/>
  <c r="D322" i="9"/>
  <c r="D320" i="9"/>
  <c r="D318" i="9"/>
  <c r="E318" i="9" s="1" a="1"/>
  <c r="E318" i="9" s="1"/>
  <c r="E319" i="9" s="1" a="1"/>
  <c r="E319" i="9" s="1"/>
  <c r="E320" i="9" s="1" a="1"/>
  <c r="E320" i="9" s="1"/>
  <c r="F320" i="9" s="1"/>
  <c r="G320" i="9" s="1"/>
  <c r="C317" i="9"/>
  <c r="D317" i="9" s="1"/>
  <c r="P93" i="4"/>
  <c r="C221" i="3"/>
  <c r="D223" i="3"/>
  <c r="D226" i="3"/>
  <c r="D225" i="3"/>
  <c r="D222" i="3"/>
  <c r="D224" i="3"/>
  <c r="D94" i="4"/>
  <c r="L22" i="4" s="1"/>
  <c r="L60" i="9" l="1"/>
  <c r="F318" i="9"/>
  <c r="G318" i="9" s="1"/>
  <c r="F319" i="9"/>
  <c r="G319" i="9" s="1"/>
  <c r="E317" i="9" a="1"/>
  <c r="E317" i="9" s="1"/>
  <c r="F317" i="9" s="1"/>
  <c r="E321" i="9" a="1"/>
  <c r="E321" i="9" s="1"/>
  <c r="F321" i="9" s="1"/>
  <c r="G321" i="9" s="1"/>
  <c r="P94" i="4"/>
  <c r="E89" i="4" s="1"/>
  <c r="F89" i="4" s="1"/>
  <c r="D221" i="3"/>
  <c r="L44" i="3" s="1"/>
  <c r="G317" i="9" l="1"/>
  <c r="E322" i="9" a="1"/>
  <c r="E322" i="9" s="1"/>
  <c r="F322" i="9" s="1"/>
  <c r="C95" i="4"/>
  <c r="D95" i="4" s="1"/>
  <c r="C18" i="5"/>
  <c r="E221" i="3" a="1"/>
  <c r="E221" i="3" s="1"/>
  <c r="E222" i="3" s="1" a="1"/>
  <c r="E222" i="3" s="1"/>
  <c r="F222" i="3" s="1"/>
  <c r="G222" i="3" s="1"/>
  <c r="G89" i="4"/>
  <c r="E90" i="4"/>
  <c r="E91" i="4" s="1"/>
  <c r="F91" i="4" s="1"/>
  <c r="G322" i="9" l="1"/>
  <c r="M60" i="9"/>
  <c r="K60" i="9"/>
  <c r="C323" i="9" a="1"/>
  <c r="P95" i="4"/>
  <c r="F221" i="3"/>
  <c r="G221" i="3" s="1"/>
  <c r="E223" i="3" a="1"/>
  <c r="E223" i="3" s="1"/>
  <c r="F90" i="4"/>
  <c r="G91" i="4"/>
  <c r="C97" i="4"/>
  <c r="E92" i="4"/>
  <c r="F92" i="4" s="1"/>
  <c r="C323" i="9" l="1"/>
  <c r="D327" i="9"/>
  <c r="D325" i="9"/>
  <c r="D328" i="9"/>
  <c r="D324" i="9"/>
  <c r="D326" i="9"/>
  <c r="G90" i="4"/>
  <c r="F223" i="3"/>
  <c r="E224" i="3" a="1"/>
  <c r="E224" i="3" s="1"/>
  <c r="F224" i="3" s="1"/>
  <c r="G224" i="3" s="1"/>
  <c r="C96" i="4"/>
  <c r="E93" i="4"/>
  <c r="F93" i="4" s="1"/>
  <c r="D97" i="4"/>
  <c r="P97" i="4" s="1"/>
  <c r="C98" i="4"/>
  <c r="G92" i="4"/>
  <c r="E324" i="9" l="1" a="1"/>
  <c r="E324" i="9" s="1"/>
  <c r="D323" i="9"/>
  <c r="L61" i="9" s="1"/>
  <c r="D96" i="4"/>
  <c r="E225" i="3" a="1"/>
  <c r="E225" i="3" s="1"/>
  <c r="G223" i="3"/>
  <c r="G93" i="4"/>
  <c r="C99" i="4"/>
  <c r="E94" i="4"/>
  <c r="F94" i="4" s="1"/>
  <c r="M22" i="4" s="1"/>
  <c r="D98" i="4"/>
  <c r="P98" i="4" s="1"/>
  <c r="E323" i="9" l="1" a="1"/>
  <c r="E323" i="9" s="1"/>
  <c r="F323" i="9" s="1"/>
  <c r="G323" i="9" s="1"/>
  <c r="E325" i="9" a="1"/>
  <c r="E325" i="9" s="1"/>
  <c r="F325" i="9" s="1"/>
  <c r="G325" i="9" s="1"/>
  <c r="F324" i="9"/>
  <c r="G324" i="9" s="1"/>
  <c r="K22" i="4"/>
  <c r="P96" i="4"/>
  <c r="F225" i="3"/>
  <c r="E226" i="3" a="1"/>
  <c r="E226" i="3" s="1"/>
  <c r="F226" i="3" s="1"/>
  <c r="C100" i="4"/>
  <c r="G94" i="4"/>
  <c r="D99" i="4"/>
  <c r="P99" i="4" s="1"/>
  <c r="E326" i="9" l="1" a="1"/>
  <c r="E326" i="9" s="1"/>
  <c r="F326" i="9" s="1"/>
  <c r="G326" i="9" s="1"/>
  <c r="G226" i="3"/>
  <c r="M44" i="3"/>
  <c r="G225" i="3"/>
  <c r="C227" i="3" a="1"/>
  <c r="K44" i="3"/>
  <c r="B45" i="5" s="1"/>
  <c r="D100" i="4"/>
  <c r="P100" i="4" s="1"/>
  <c r="E327" i="9" l="1" a="1"/>
  <c r="E327" i="9" s="1"/>
  <c r="F327" i="9" s="1"/>
  <c r="L23" i="4"/>
  <c r="C227" i="3"/>
  <c r="D229" i="3"/>
  <c r="D231" i="3"/>
  <c r="D230" i="3"/>
  <c r="D232" i="3"/>
  <c r="D228" i="3"/>
  <c r="E95" i="4"/>
  <c r="E328" i="9" l="1" a="1"/>
  <c r="E328" i="9" s="1"/>
  <c r="F328" i="9" s="1"/>
  <c r="G328" i="9" s="1"/>
  <c r="G327" i="9"/>
  <c r="D227" i="3"/>
  <c r="L45" i="3" s="1"/>
  <c r="F95" i="4"/>
  <c r="E96" i="4"/>
  <c r="F96" i="4" s="1"/>
  <c r="K61" i="9" l="1"/>
  <c r="C329" i="9" a="1"/>
  <c r="D333" i="9" s="1"/>
  <c r="M61" i="9"/>
  <c r="C19" i="5"/>
  <c r="E227" i="3" a="1"/>
  <c r="E227" i="3" s="1"/>
  <c r="F227" i="3" s="1"/>
  <c r="C101" i="4"/>
  <c r="G95" i="4"/>
  <c r="G96" i="4"/>
  <c r="C102" i="4"/>
  <c r="E97" i="4"/>
  <c r="F97" i="4" s="1"/>
  <c r="D330" i="9" l="1"/>
  <c r="E330" i="9" s="1" a="1"/>
  <c r="E330" i="9" s="1"/>
  <c r="D334" i="9"/>
  <c r="D332" i="9"/>
  <c r="D331" i="9"/>
  <c r="C329" i="9"/>
  <c r="D329" i="9" s="1"/>
  <c r="E228" i="3" a="1"/>
  <c r="E228" i="3" s="1"/>
  <c r="F228" i="3" s="1"/>
  <c r="G228" i="3" s="1"/>
  <c r="G227" i="3"/>
  <c r="D102" i="4"/>
  <c r="E98" i="4"/>
  <c r="C103" i="4"/>
  <c r="G97" i="4"/>
  <c r="D101" i="4"/>
  <c r="E331" i="9" l="1" a="1"/>
  <c r="E331" i="9" s="1"/>
  <c r="F331" i="9" s="1"/>
  <c r="G331" i="9" s="1"/>
  <c r="L62" i="9"/>
  <c r="E329" i="9" a="1"/>
  <c r="E329" i="9" s="1"/>
  <c r="F329" i="9" s="1"/>
  <c r="G329" i="9" s="1"/>
  <c r="F330" i="9"/>
  <c r="G330" i="9" s="1"/>
  <c r="P102" i="4"/>
  <c r="P101" i="4"/>
  <c r="E229" i="3" a="1"/>
  <c r="E229" i="3" s="1"/>
  <c r="F229" i="3" s="1"/>
  <c r="G229" i="3" s="1"/>
  <c r="F98" i="4"/>
  <c r="E99" i="4"/>
  <c r="F99" i="4" s="1"/>
  <c r="D103" i="4"/>
  <c r="P103" i="4" s="1"/>
  <c r="E332" i="9" l="1" a="1"/>
  <c r="E332" i="9" s="1"/>
  <c r="F332" i="9" s="1"/>
  <c r="G332" i="9" s="1"/>
  <c r="E230" i="3" a="1"/>
  <c r="E230" i="3" s="1"/>
  <c r="F230" i="3" s="1"/>
  <c r="G230" i="3" s="1"/>
  <c r="G99" i="4"/>
  <c r="C105" i="4"/>
  <c r="G98" i="4"/>
  <c r="C104" i="4"/>
  <c r="E100" i="4"/>
  <c r="F100" i="4" s="1"/>
  <c r="M23" i="4" s="1"/>
  <c r="E333" i="9" l="1" a="1"/>
  <c r="E333" i="9" s="1"/>
  <c r="F333" i="9" s="1"/>
  <c r="G333" i="9" s="1"/>
  <c r="K23" i="4"/>
  <c r="E231" i="3" a="1"/>
  <c r="E231" i="3" s="1"/>
  <c r="F231" i="3" s="1"/>
  <c r="C106" i="4"/>
  <c r="G100" i="4"/>
  <c r="D104" i="4"/>
  <c r="D105" i="4"/>
  <c r="P105" i="4" s="1"/>
  <c r="E334" i="9" l="1" a="1"/>
  <c r="E334" i="9" s="1"/>
  <c r="F334" i="9" s="1"/>
  <c r="G334" i="9" s="1"/>
  <c r="P104" i="4"/>
  <c r="E232" i="3" a="1"/>
  <c r="E232" i="3" s="1"/>
  <c r="F232" i="3" s="1"/>
  <c r="G232" i="3" s="1"/>
  <c r="G231" i="3"/>
  <c r="D106" i="4"/>
  <c r="L24" i="4" s="1"/>
  <c r="C335" i="9" l="1" a="1"/>
  <c r="M62" i="9"/>
  <c r="K62" i="9"/>
  <c r="C335" i="9"/>
  <c r="D340" i="9"/>
  <c r="D338" i="9"/>
  <c r="D336" i="9"/>
  <c r="D339" i="9"/>
  <c r="D337" i="9"/>
  <c r="P106" i="4"/>
  <c r="E101" i="4" s="1"/>
  <c r="F101" i="4" s="1"/>
  <c r="C233" i="3" a="1"/>
  <c r="D237" i="3" s="1"/>
  <c r="K45" i="3"/>
  <c r="B46" i="5" s="1"/>
  <c r="M45" i="3"/>
  <c r="E336" i="9" l="1" a="1"/>
  <c r="E336" i="9" s="1"/>
  <c r="F336" i="9" s="1"/>
  <c r="G336" i="9" s="1"/>
  <c r="D335" i="9"/>
  <c r="L63" i="9" s="1"/>
  <c r="C20" i="5"/>
  <c r="D235" i="3"/>
  <c r="C233" i="3"/>
  <c r="D233" i="3" s="1"/>
  <c r="D234" i="3"/>
  <c r="D238" i="3"/>
  <c r="D236" i="3"/>
  <c r="G101" i="4"/>
  <c r="C107" i="4"/>
  <c r="E102" i="4"/>
  <c r="E337" i="9" l="1" a="1"/>
  <c r="E337" i="9" s="1"/>
  <c r="F337" i="9" s="1"/>
  <c r="G337" i="9" s="1"/>
  <c r="E335" i="9" a="1"/>
  <c r="E335" i="9" s="1"/>
  <c r="F335" i="9" s="1"/>
  <c r="L46" i="3"/>
  <c r="E233" i="3" a="1"/>
  <c r="E233" i="3" s="1"/>
  <c r="F233" i="3" s="1"/>
  <c r="D107" i="4"/>
  <c r="E103" i="4"/>
  <c r="F103" i="4" s="1"/>
  <c r="F102" i="4"/>
  <c r="E338" i="9" l="1" a="1"/>
  <c r="E338" i="9" s="1"/>
  <c r="F338" i="9" s="1"/>
  <c r="G338" i="9" s="1"/>
  <c r="G335" i="9"/>
  <c r="P107" i="4"/>
  <c r="G233" i="3"/>
  <c r="E234" i="3" a="1"/>
  <c r="E234" i="3" s="1"/>
  <c r="F234" i="3" s="1"/>
  <c r="G234" i="3" s="1"/>
  <c r="G103" i="4"/>
  <c r="C109" i="4"/>
  <c r="G102" i="4"/>
  <c r="C108" i="4"/>
  <c r="E104" i="4"/>
  <c r="F104" i="4" s="1"/>
  <c r="E339" i="9" l="1" a="1"/>
  <c r="E339" i="9" s="1"/>
  <c r="F339" i="9" s="1"/>
  <c r="E235" i="3" a="1"/>
  <c r="E235" i="3" s="1"/>
  <c r="F235" i="3" s="1"/>
  <c r="G235" i="3" s="1"/>
  <c r="E105" i="4"/>
  <c r="F105" i="4" s="1"/>
  <c r="D109" i="4"/>
  <c r="P109" i="4" s="1"/>
  <c r="G104" i="4"/>
  <c r="C110" i="4"/>
  <c r="D108" i="4"/>
  <c r="E340" i="9" l="1" a="1"/>
  <c r="E340" i="9" s="1"/>
  <c r="F340" i="9" s="1"/>
  <c r="G340" i="9" s="1"/>
  <c r="G339" i="9"/>
  <c r="P108" i="4"/>
  <c r="E236" i="3" a="1"/>
  <c r="E236" i="3" s="1"/>
  <c r="F236" i="3" s="1"/>
  <c r="C111" i="4"/>
  <c r="G105" i="4"/>
  <c r="D110" i="4"/>
  <c r="P110" i="4" s="1"/>
  <c r="E106" i="4"/>
  <c r="F106" i="4" s="1"/>
  <c r="K24" i="4" s="1"/>
  <c r="C341" i="9" l="1" a="1"/>
  <c r="C341" i="9" s="1"/>
  <c r="K63" i="9"/>
  <c r="M63" i="9"/>
  <c r="M24" i="4"/>
  <c r="E237" i="3" a="1"/>
  <c r="E237" i="3" s="1"/>
  <c r="G236" i="3"/>
  <c r="G106" i="4"/>
  <c r="C112" i="4"/>
  <c r="D111" i="4"/>
  <c r="P111" i="4" s="1"/>
  <c r="D344" i="9" l="1"/>
  <c r="D346" i="9"/>
  <c r="D345" i="9"/>
  <c r="D342" i="9"/>
  <c r="E342" i="9" s="1" a="1"/>
  <c r="E342" i="9" s="1"/>
  <c r="D343" i="9"/>
  <c r="D341" i="9"/>
  <c r="F237" i="3"/>
  <c r="E238" i="3" a="1"/>
  <c r="E238" i="3" s="1"/>
  <c r="F238" i="3" s="1"/>
  <c r="D112" i="4"/>
  <c r="L25" i="4" s="1"/>
  <c r="E343" i="9" l="1" a="1"/>
  <c r="E343" i="9" s="1"/>
  <c r="F343" i="9" s="1"/>
  <c r="G343" i="9" s="1"/>
  <c r="L64" i="9"/>
  <c r="F342" i="9"/>
  <c r="G342" i="9" s="1"/>
  <c r="E341" i="9" a="1"/>
  <c r="E341" i="9" s="1"/>
  <c r="F341" i="9" s="1"/>
  <c r="P112" i="4"/>
  <c r="G238" i="3"/>
  <c r="M46" i="3"/>
  <c r="G237" i="3"/>
  <c r="C239" i="3" a="1"/>
  <c r="K46" i="3"/>
  <c r="B47" i="5" s="1"/>
  <c r="E344" i="9" l="1" a="1"/>
  <c r="E344" i="9" s="1"/>
  <c r="F344" i="9" s="1"/>
  <c r="G344" i="9" s="1"/>
  <c r="G341" i="9"/>
  <c r="C239" i="3"/>
  <c r="D244" i="3"/>
  <c r="D242" i="3"/>
  <c r="D241" i="3"/>
  <c r="D243" i="3"/>
  <c r="D240" i="3"/>
  <c r="E345" i="9" l="1" a="1"/>
  <c r="E345" i="9" s="1"/>
  <c r="F345" i="9" s="1"/>
  <c r="G345" i="9" s="1"/>
  <c r="D239" i="3"/>
  <c r="L47" i="3" s="1"/>
  <c r="E346" i="9" l="1" a="1"/>
  <c r="E346" i="9" s="1"/>
  <c r="F346" i="9" s="1"/>
  <c r="K64" i="9" s="1"/>
  <c r="E239" i="3" a="1"/>
  <c r="E239" i="3" s="1"/>
  <c r="M64" i="9" l="1"/>
  <c r="G346" i="9"/>
  <c r="C347" i="9" a="1"/>
  <c r="D351" i="9" s="1"/>
  <c r="E240" i="3" a="1"/>
  <c r="E240" i="3" s="1"/>
  <c r="F240" i="3" s="1"/>
  <c r="G240" i="3" s="1"/>
  <c r="F239" i="3"/>
  <c r="D350" i="9" l="1"/>
  <c r="D352" i="9"/>
  <c r="D348" i="9"/>
  <c r="E348" i="9" s="1" a="1"/>
  <c r="E348" i="9" s="1"/>
  <c r="E349" i="9" s="1" a="1"/>
  <c r="E349" i="9" s="1"/>
  <c r="F349" i="9" s="1"/>
  <c r="G349" i="9" s="1"/>
  <c r="D349" i="9"/>
  <c r="C347" i="9"/>
  <c r="D347" i="9" s="1"/>
  <c r="G239" i="3"/>
  <c r="E241" i="3" a="1"/>
  <c r="E241" i="3" s="1"/>
  <c r="F241" i="3" s="1"/>
  <c r="G241" i="3" s="1"/>
  <c r="L65" i="9" l="1"/>
  <c r="F348" i="9"/>
  <c r="G348" i="9" s="1"/>
  <c r="E350" i="9" a="1"/>
  <c r="E350" i="9" s="1"/>
  <c r="F350" i="9" s="1"/>
  <c r="G350" i="9" s="1"/>
  <c r="E347" i="9" a="1"/>
  <c r="E347" i="9" s="1"/>
  <c r="F347" i="9" s="1"/>
  <c r="E242" i="3" a="1"/>
  <c r="E242" i="3" s="1"/>
  <c r="E107" i="4"/>
  <c r="F107" i="4" s="1"/>
  <c r="G347" i="9" l="1"/>
  <c r="E351" i="9" a="1"/>
  <c r="E351" i="9" s="1"/>
  <c r="F351" i="9" s="1"/>
  <c r="G351" i="9" s="1"/>
  <c r="C21" i="5"/>
  <c r="F242" i="3"/>
  <c r="E243" i="3" a="1"/>
  <c r="E243" i="3" s="1"/>
  <c r="C113" i="4"/>
  <c r="G107" i="4"/>
  <c r="E108" i="4"/>
  <c r="E352" i="9" l="1" a="1"/>
  <c r="E352" i="9" s="1"/>
  <c r="F352" i="9" s="1"/>
  <c r="F243" i="3"/>
  <c r="G243" i="3" s="1"/>
  <c r="E244" i="3" a="1"/>
  <c r="E244" i="3" s="1"/>
  <c r="F244" i="3" s="1"/>
  <c r="G242" i="3"/>
  <c r="E109" i="4"/>
  <c r="F109" i="4" s="1"/>
  <c r="F108" i="4"/>
  <c r="D113" i="4"/>
  <c r="G352" i="9" l="1"/>
  <c r="M65" i="9"/>
  <c r="C353" i="9" a="1"/>
  <c r="K65" i="9"/>
  <c r="P113" i="4"/>
  <c r="K47" i="3"/>
  <c r="B48" i="5" s="1"/>
  <c r="C245" i="3" a="1"/>
  <c r="G244" i="3"/>
  <c r="M47" i="3"/>
  <c r="G109" i="4"/>
  <c r="C115" i="4"/>
  <c r="E110" i="4"/>
  <c r="F110" i="4" s="1"/>
  <c r="G108" i="4"/>
  <c r="C114" i="4"/>
  <c r="C353" i="9" l="1"/>
  <c r="D355" i="9"/>
  <c r="D357" i="9"/>
  <c r="D358" i="9"/>
  <c r="D356" i="9"/>
  <c r="D354" i="9"/>
  <c r="C245" i="3"/>
  <c r="D248" i="3"/>
  <c r="D247" i="3"/>
  <c r="D246" i="3"/>
  <c r="D250" i="3"/>
  <c r="D249" i="3"/>
  <c r="C116" i="4"/>
  <c r="G110" i="4"/>
  <c r="D115" i="4"/>
  <c r="P115" i="4" s="1"/>
  <c r="D114" i="4"/>
  <c r="E111" i="4"/>
  <c r="F111" i="4" s="1"/>
  <c r="D353" i="9" l="1"/>
  <c r="L66" i="9" s="1"/>
  <c r="E354" i="9" a="1"/>
  <c r="E354" i="9" s="1"/>
  <c r="P114" i="4"/>
  <c r="D245" i="3"/>
  <c r="L48" i="3" s="1"/>
  <c r="E112" i="4"/>
  <c r="F112" i="4" s="1"/>
  <c r="K25" i="4" s="1"/>
  <c r="D116" i="4"/>
  <c r="P116" i="4" s="1"/>
  <c r="G111" i="4"/>
  <c r="C117" i="4"/>
  <c r="E353" i="9" l="1" a="1"/>
  <c r="E353" i="9" s="1"/>
  <c r="F353" i="9" s="1"/>
  <c r="G353" i="9" s="1"/>
  <c r="E355" i="9" a="1"/>
  <c r="E355" i="9" s="1"/>
  <c r="F355" i="9" s="1"/>
  <c r="G355" i="9" s="1"/>
  <c r="F354" i="9"/>
  <c r="G354" i="9" s="1"/>
  <c r="M25" i="4"/>
  <c r="E245" i="3" a="1"/>
  <c r="E245" i="3" s="1"/>
  <c r="F245" i="3" s="1"/>
  <c r="D117" i="4"/>
  <c r="P117" i="4" s="1"/>
  <c r="C118" i="4"/>
  <c r="G112" i="4"/>
  <c r="E356" i="9" l="1" a="1"/>
  <c r="E356" i="9" s="1"/>
  <c r="F356" i="9" s="1"/>
  <c r="G356" i="9" s="1"/>
  <c r="G245" i="3"/>
  <c r="E246" i="3" a="1"/>
  <c r="E246" i="3" s="1"/>
  <c r="F246" i="3" s="1"/>
  <c r="G246" i="3" s="1"/>
  <c r="D118" i="4"/>
  <c r="L26" i="4" s="1"/>
  <c r="E357" i="9" l="1" a="1"/>
  <c r="E357" i="9" s="1"/>
  <c r="P118" i="4"/>
  <c r="E113" i="4" s="1"/>
  <c r="F113" i="4" s="1"/>
  <c r="E247" i="3" a="1"/>
  <c r="E247" i="3" s="1"/>
  <c r="F247" i="3" s="1"/>
  <c r="G247" i="3" s="1"/>
  <c r="F357" i="9" l="1"/>
  <c r="E358" i="9" a="1"/>
  <c r="E358" i="9" s="1"/>
  <c r="F358" i="9" s="1"/>
  <c r="C22" i="5"/>
  <c r="E248" i="3" a="1"/>
  <c r="E248" i="3" s="1"/>
  <c r="C119" i="4"/>
  <c r="G113" i="4"/>
  <c r="E114" i="4"/>
  <c r="G358" i="9" l="1"/>
  <c r="M66" i="9"/>
  <c r="G357" i="9"/>
  <c r="C359" i="9" a="1"/>
  <c r="K66" i="9"/>
  <c r="F248" i="3"/>
  <c r="E249" i="3" a="1"/>
  <c r="E249" i="3" s="1"/>
  <c r="F114" i="4"/>
  <c r="E115" i="4"/>
  <c r="F115" i="4" s="1"/>
  <c r="D119" i="4"/>
  <c r="C359" i="9" l="1"/>
  <c r="D361" i="9"/>
  <c r="D363" i="9"/>
  <c r="D362" i="9"/>
  <c r="D364" i="9"/>
  <c r="D360" i="9"/>
  <c r="E360" i="9" s="1" a="1"/>
  <c r="E360" i="9" s="1"/>
  <c r="P119" i="4"/>
  <c r="F249" i="3"/>
  <c r="G249" i="3" s="1"/>
  <c r="E250" i="3" a="1"/>
  <c r="E250" i="3" s="1"/>
  <c r="F250" i="3" s="1"/>
  <c r="G248" i="3"/>
  <c r="C121" i="4"/>
  <c r="G115" i="4"/>
  <c r="E116" i="4"/>
  <c r="F116" i="4" s="1"/>
  <c r="G114" i="4"/>
  <c r="C120" i="4"/>
  <c r="E361" i="9" l="1" a="1"/>
  <c r="E361" i="9" s="1"/>
  <c r="F361" i="9" s="1"/>
  <c r="G361" i="9" s="1"/>
  <c r="F360" i="9"/>
  <c r="G360" i="9" s="1"/>
  <c r="D359" i="9"/>
  <c r="L67" i="9" s="1"/>
  <c r="K48" i="3"/>
  <c r="B49" i="5" s="1"/>
  <c r="G250" i="3"/>
  <c r="M48" i="3"/>
  <c r="C251" i="3" a="1"/>
  <c r="D120" i="4"/>
  <c r="D121" i="4"/>
  <c r="P121" i="4" s="1"/>
  <c r="E117" i="4"/>
  <c r="F117" i="4" s="1"/>
  <c r="C122" i="4"/>
  <c r="G116" i="4"/>
  <c r="E362" i="9" l="1" a="1"/>
  <c r="E362" i="9" s="1"/>
  <c r="E363" i="9" s="1" a="1"/>
  <c r="E363" i="9" s="1"/>
  <c r="F363" i="9" s="1"/>
  <c r="G363" i="9" s="1"/>
  <c r="E359" i="9" a="1"/>
  <c r="E359" i="9" s="1"/>
  <c r="F359" i="9" s="1"/>
  <c r="P120" i="4"/>
  <c r="C251" i="3"/>
  <c r="D254" i="3"/>
  <c r="D253" i="3"/>
  <c r="D252" i="3"/>
  <c r="D256" i="3"/>
  <c r="D255" i="3"/>
  <c r="D122" i="4"/>
  <c r="P122" i="4" s="1"/>
  <c r="E118" i="4"/>
  <c r="F118" i="4" s="1"/>
  <c r="K26" i="4" s="1"/>
  <c r="C123" i="4"/>
  <c r="G117" i="4"/>
  <c r="G359" i="9" l="1"/>
  <c r="F362" i="9"/>
  <c r="G362" i="9" s="1"/>
  <c r="E364" i="9" a="1"/>
  <c r="E364" i="9" s="1"/>
  <c r="F364" i="9" s="1"/>
  <c r="M26" i="4"/>
  <c r="D251" i="3"/>
  <c r="L49" i="3" s="1"/>
  <c r="G118" i="4"/>
  <c r="C124" i="4"/>
  <c r="D123" i="4"/>
  <c r="G364" i="9" l="1"/>
  <c r="M67" i="9"/>
  <c r="K67" i="9"/>
  <c r="C365" i="9" a="1"/>
  <c r="P123" i="4"/>
  <c r="E251" i="3" a="1"/>
  <c r="E251" i="3" s="1"/>
  <c r="E252" i="3" s="1" a="1"/>
  <c r="E252" i="3" s="1"/>
  <c r="F252" i="3" s="1"/>
  <c r="G252" i="3" s="1"/>
  <c r="D124" i="4"/>
  <c r="L27" i="4" s="1"/>
  <c r="C365" i="9" l="1"/>
  <c r="D369" i="9"/>
  <c r="D366" i="9"/>
  <c r="E366" i="9" s="1" a="1"/>
  <c r="E366" i="9" s="1"/>
  <c r="D367" i="9"/>
  <c r="D368" i="9"/>
  <c r="D370" i="9"/>
  <c r="P124" i="4"/>
  <c r="F251" i="3"/>
  <c r="G251" i="3" s="1"/>
  <c r="E253" i="3" a="1"/>
  <c r="E253" i="3" s="1"/>
  <c r="F366" i="9" l="1"/>
  <c r="G366" i="9" s="1"/>
  <c r="D365" i="9"/>
  <c r="L68" i="9" s="1"/>
  <c r="E367" i="9" a="1"/>
  <c r="E367" i="9" s="1"/>
  <c r="F253" i="3"/>
  <c r="E254" i="3" a="1"/>
  <c r="E254" i="3" s="1"/>
  <c r="E365" i="9" l="1" a="1"/>
  <c r="E365" i="9" s="1"/>
  <c r="F365" i="9" s="1"/>
  <c r="G365" i="9" s="1"/>
  <c r="F367" i="9"/>
  <c r="G367" i="9" s="1"/>
  <c r="E368" i="9" a="1"/>
  <c r="E368" i="9" s="1"/>
  <c r="F368" i="9" s="1"/>
  <c r="G368" i="9" s="1"/>
  <c r="F254" i="3"/>
  <c r="G254" i="3" s="1"/>
  <c r="E255" i="3" a="1"/>
  <c r="E255" i="3" s="1"/>
  <c r="G253" i="3"/>
  <c r="E369" i="9" l="1" a="1"/>
  <c r="E369" i="9" s="1"/>
  <c r="F255" i="3"/>
  <c r="E256" i="3" a="1"/>
  <c r="E256" i="3" s="1"/>
  <c r="F256" i="3" s="1"/>
  <c r="F369" i="9" l="1"/>
  <c r="E370" i="9" a="1"/>
  <c r="E370" i="9" s="1"/>
  <c r="F370" i="9" s="1"/>
  <c r="G256" i="3"/>
  <c r="M49" i="3"/>
  <c r="G255" i="3"/>
  <c r="K49" i="3"/>
  <c r="B50" i="5" s="1"/>
  <c r="C257" i="3" a="1"/>
  <c r="G370" i="9" l="1"/>
  <c r="M68" i="9"/>
  <c r="G369" i="9"/>
  <c r="K68" i="9"/>
  <c r="C371" i="9" a="1"/>
  <c r="C257" i="3"/>
  <c r="D262" i="3"/>
  <c r="D259" i="3"/>
  <c r="D258" i="3"/>
  <c r="D261" i="3"/>
  <c r="D260" i="3"/>
  <c r="C371" i="9" l="1"/>
  <c r="D375" i="9"/>
  <c r="D374" i="9"/>
  <c r="D376" i="9"/>
  <c r="D373" i="9"/>
  <c r="D372" i="9"/>
  <c r="D257" i="3"/>
  <c r="L50" i="3" s="1"/>
  <c r="D371" i="9" l="1"/>
  <c r="L69" i="9" s="1"/>
  <c r="E372" i="9" a="1"/>
  <c r="E372" i="9" s="1"/>
  <c r="F372" i="9" s="1"/>
  <c r="G372" i="9" s="1"/>
  <c r="E257" i="3" a="1"/>
  <c r="E257" i="3" s="1"/>
  <c r="F257" i="3" s="1"/>
  <c r="E371" i="9" l="1" a="1"/>
  <c r="E371" i="9" s="1"/>
  <c r="F371" i="9" s="1"/>
  <c r="G371" i="9" s="1"/>
  <c r="E373" i="9" a="1"/>
  <c r="E373" i="9" s="1"/>
  <c r="F373" i="9" s="1"/>
  <c r="G373" i="9" s="1"/>
  <c r="G257" i="3"/>
  <c r="E258" i="3" a="1"/>
  <c r="E258" i="3" s="1"/>
  <c r="F258" i="3" s="1"/>
  <c r="G258" i="3" s="1"/>
  <c r="E374" i="9" l="1" a="1"/>
  <c r="E374" i="9" s="1"/>
  <c r="E259" i="3" a="1"/>
  <c r="E259" i="3" s="1"/>
  <c r="F259" i="3" s="1"/>
  <c r="G259" i="3" s="1"/>
  <c r="F374" i="9" l="1"/>
  <c r="E375" i="9" a="1"/>
  <c r="E375" i="9" s="1"/>
  <c r="E260" i="3" a="1"/>
  <c r="E260" i="3" s="1"/>
  <c r="F375" i="9" l="1"/>
  <c r="G375" i="9" s="1"/>
  <c r="E376" i="9" a="1"/>
  <c r="E376" i="9" s="1"/>
  <c r="F376" i="9" s="1"/>
  <c r="K69" i="9" s="1"/>
  <c r="G374" i="9"/>
  <c r="F260" i="3"/>
  <c r="E261" i="3" a="1"/>
  <c r="E261" i="3" s="1"/>
  <c r="G376" i="9" l="1"/>
  <c r="M69" i="9"/>
  <c r="C377" i="9" a="1"/>
  <c r="F261" i="3"/>
  <c r="G261" i="3" s="1"/>
  <c r="E262" i="3" a="1"/>
  <c r="E262" i="3" s="1"/>
  <c r="F262" i="3" s="1"/>
  <c r="G260" i="3"/>
  <c r="C377" i="9" l="1"/>
  <c r="D382" i="9"/>
  <c r="D380" i="9"/>
  <c r="D379" i="9"/>
  <c r="D381" i="9"/>
  <c r="D378" i="9"/>
  <c r="K50" i="3"/>
  <c r="B51" i="5" s="1"/>
  <c r="C263" i="3" a="1"/>
  <c r="G262" i="3"/>
  <c r="M50" i="3"/>
  <c r="E378" i="9" l="1" a="1"/>
  <c r="E378" i="9" s="1"/>
  <c r="D377" i="9"/>
  <c r="L70" i="9" s="1"/>
  <c r="C263" i="3"/>
  <c r="D268" i="3"/>
  <c r="D264" i="3"/>
  <c r="D266" i="3"/>
  <c r="D267" i="3"/>
  <c r="D265" i="3"/>
  <c r="E377" i="9" l="1" a="1"/>
  <c r="E377" i="9" s="1"/>
  <c r="F377" i="9" s="1"/>
  <c r="E379" i="9" a="1"/>
  <c r="E379" i="9" s="1"/>
  <c r="F379" i="9" s="1"/>
  <c r="G379" i="9" s="1"/>
  <c r="F378" i="9"/>
  <c r="G378" i="9" s="1"/>
  <c r="D263" i="3"/>
  <c r="L51" i="3" s="1"/>
  <c r="G377" i="9" l="1"/>
  <c r="E380" i="9" a="1"/>
  <c r="E380" i="9" s="1"/>
  <c r="F380" i="9" s="1"/>
  <c r="G380" i="9" s="1"/>
  <c r="E263" i="3" a="1"/>
  <c r="E263" i="3" s="1"/>
  <c r="E381" i="9" l="1" a="1"/>
  <c r="E381" i="9" s="1"/>
  <c r="E264" i="3" a="1"/>
  <c r="E264" i="3" s="1"/>
  <c r="F264" i="3" s="1"/>
  <c r="G264" i="3" s="1"/>
  <c r="F263" i="3"/>
  <c r="F381" i="9" l="1"/>
  <c r="E382" i="9" a="1"/>
  <c r="E382" i="9" s="1"/>
  <c r="F382" i="9" s="1"/>
  <c r="G263" i="3"/>
  <c r="E265" i="3" a="1"/>
  <c r="E265" i="3" s="1"/>
  <c r="G382" i="9" l="1"/>
  <c r="M70" i="9"/>
  <c r="G381" i="9"/>
  <c r="K70" i="9"/>
  <c r="C383" i="9" a="1"/>
  <c r="F265" i="3"/>
  <c r="E266" i="3" a="1"/>
  <c r="E266" i="3" s="1"/>
  <c r="C383" i="9" l="1"/>
  <c r="D384" i="9"/>
  <c r="D387" i="9"/>
  <c r="D386" i="9"/>
  <c r="D385" i="9"/>
  <c r="D388" i="9"/>
  <c r="F266" i="3"/>
  <c r="G266" i="3" s="1"/>
  <c r="E267" i="3" a="1"/>
  <c r="E267" i="3" s="1"/>
  <c r="G265" i="3"/>
  <c r="E384" i="9" l="1" a="1"/>
  <c r="E384" i="9" s="1"/>
  <c r="F384" i="9" s="1"/>
  <c r="G384" i="9" s="1"/>
  <c r="D383" i="9"/>
  <c r="L71" i="9" s="1"/>
  <c r="F267" i="3"/>
  <c r="E268" i="3" a="1"/>
  <c r="E268" i="3" s="1"/>
  <c r="F268" i="3" s="1"/>
  <c r="E119" i="4"/>
  <c r="F119" i="4" s="1"/>
  <c r="E383" i="9" l="1" a="1"/>
  <c r="E383" i="9" s="1"/>
  <c r="F383" i="9" s="1"/>
  <c r="G383" i="9" s="1"/>
  <c r="E385" i="9" a="1"/>
  <c r="E385" i="9" s="1"/>
  <c r="F385" i="9" s="1"/>
  <c r="G385" i="9" s="1"/>
  <c r="C23" i="5"/>
  <c r="G268" i="3"/>
  <c r="M51" i="3"/>
  <c r="G267" i="3"/>
  <c r="C269" i="3" a="1"/>
  <c r="K51" i="3"/>
  <c r="B52" i="5" s="1"/>
  <c r="C125" i="4"/>
  <c r="G119" i="4"/>
  <c r="E120" i="4"/>
  <c r="E386" i="9" l="1" a="1"/>
  <c r="E386" i="9" s="1"/>
  <c r="F386" i="9" s="1"/>
  <c r="G386" i="9" s="1"/>
  <c r="C269" i="3"/>
  <c r="D271" i="3"/>
  <c r="D273" i="3"/>
  <c r="D274" i="3"/>
  <c r="D270" i="3"/>
  <c r="D272" i="3"/>
  <c r="F120" i="4"/>
  <c r="E121" i="4"/>
  <c r="F121" i="4" s="1"/>
  <c r="D125" i="4"/>
  <c r="E387" i="9" l="1" a="1"/>
  <c r="E387" i="9" s="1"/>
  <c r="P125" i="4"/>
  <c r="D269" i="3"/>
  <c r="L52" i="3" s="1"/>
  <c r="G121" i="4"/>
  <c r="C127" i="4"/>
  <c r="E122" i="4"/>
  <c r="F122" i="4" s="1"/>
  <c r="G120" i="4"/>
  <c r="C126" i="4"/>
  <c r="F387" i="9" l="1"/>
  <c r="E388" i="9" a="1"/>
  <c r="E388" i="9" s="1"/>
  <c r="F388" i="9" s="1"/>
  <c r="E269" i="3" a="1"/>
  <c r="E269" i="3" s="1"/>
  <c r="E270" i="3" s="1" a="1"/>
  <c r="E270" i="3" s="1"/>
  <c r="F270" i="3" s="1"/>
  <c r="G270" i="3" s="1"/>
  <c r="D126" i="4"/>
  <c r="G122" i="4"/>
  <c r="C128" i="4"/>
  <c r="D127" i="4"/>
  <c r="P127" i="4" s="1"/>
  <c r="E123" i="4"/>
  <c r="F123" i="4" s="1"/>
  <c r="G388" i="9" l="1"/>
  <c r="M71" i="9"/>
  <c r="G387" i="9"/>
  <c r="C389" i="9" a="1"/>
  <c r="K71" i="9"/>
  <c r="P126" i="4"/>
  <c r="F269" i="3"/>
  <c r="G269" i="3" s="1"/>
  <c r="E271" i="3" a="1"/>
  <c r="E271" i="3" s="1"/>
  <c r="G123" i="4"/>
  <c r="C129" i="4"/>
  <c r="E124" i="4"/>
  <c r="F124" i="4" s="1"/>
  <c r="K27" i="4" s="1"/>
  <c r="D128" i="4"/>
  <c r="P128" i="4" s="1"/>
  <c r="C389" i="9" l="1"/>
  <c r="D392" i="9"/>
  <c r="D393" i="9"/>
  <c r="D390" i="9"/>
  <c r="D391" i="9"/>
  <c r="D394" i="9"/>
  <c r="M27" i="4"/>
  <c r="F271" i="3"/>
  <c r="E272" i="3" a="1"/>
  <c r="E272" i="3" s="1"/>
  <c r="F272" i="3" s="1"/>
  <c r="G272" i="3" s="1"/>
  <c r="G124" i="4"/>
  <c r="C130" i="4"/>
  <c r="D129" i="4"/>
  <c r="P129" i="4" s="1"/>
  <c r="D389" i="9" l="1"/>
  <c r="L72" i="9" s="1"/>
  <c r="E390" i="9" a="1"/>
  <c r="E390" i="9" s="1"/>
  <c r="G271" i="3"/>
  <c r="E273" i="3" a="1"/>
  <c r="E273" i="3" s="1"/>
  <c r="D130" i="4"/>
  <c r="B6" i="9" l="1"/>
  <c r="E389" i="9" a="1"/>
  <c r="E389" i="9" s="1"/>
  <c r="F389" i="9" s="1"/>
  <c r="E391" i="9" a="1"/>
  <c r="E391" i="9" s="1"/>
  <c r="F391" i="9" s="1"/>
  <c r="G391" i="9" s="1"/>
  <c r="F390" i="9"/>
  <c r="G390" i="9" s="1"/>
  <c r="P130" i="4"/>
  <c r="L28" i="4"/>
  <c r="F273" i="3"/>
  <c r="E274" i="3" a="1"/>
  <c r="E274" i="3" s="1"/>
  <c r="F274" i="3" s="1"/>
  <c r="G389" i="9" l="1"/>
  <c r="E392" i="9" a="1"/>
  <c r="E392" i="9" s="1"/>
  <c r="F392" i="9" s="1"/>
  <c r="G392" i="9" s="1"/>
  <c r="G274" i="3"/>
  <c r="M52" i="3"/>
  <c r="G273" i="3"/>
  <c r="C275" i="3" a="1"/>
  <c r="K52" i="3"/>
  <c r="B53" i="5" s="1"/>
  <c r="E393" i="9" l="1" a="1"/>
  <c r="E393" i="9" s="1"/>
  <c r="C275" i="3"/>
  <c r="D278" i="3"/>
  <c r="D276" i="3"/>
  <c r="D277" i="3"/>
  <c r="D280" i="3"/>
  <c r="D279" i="3"/>
  <c r="F393" i="9" l="1"/>
  <c r="E394" i="9" a="1"/>
  <c r="E394" i="9" s="1"/>
  <c r="B7" i="9" s="1"/>
  <c r="D275" i="3"/>
  <c r="L53" i="3" s="1"/>
  <c r="B5" i="9" l="1" a="1"/>
  <c r="B5" i="9" s="1"/>
  <c r="D6" i="3" s="1"/>
  <c r="F394" i="9"/>
  <c r="K72" i="9" s="1"/>
  <c r="G393" i="9"/>
  <c r="E275" i="3" a="1"/>
  <c r="E275" i="3" s="1"/>
  <c r="G394" i="9" l="1"/>
  <c r="M72" i="9"/>
  <c r="E276" i="3" a="1"/>
  <c r="E276" i="3" s="1"/>
  <c r="F276" i="3" s="1"/>
  <c r="G276" i="3" s="1"/>
  <c r="F275" i="3"/>
  <c r="G275" i="3" l="1"/>
  <c r="E277" i="3" a="1"/>
  <c r="E277" i="3" s="1"/>
  <c r="F277" i="3" s="1"/>
  <c r="G277" i="3" s="1"/>
  <c r="E278" i="3" l="1" a="1"/>
  <c r="E278" i="3" s="1"/>
  <c r="F278" i="3" l="1"/>
  <c r="E279" i="3" a="1"/>
  <c r="E279" i="3" s="1"/>
  <c r="F279" i="3" l="1"/>
  <c r="G279" i="3" s="1"/>
  <c r="E280" i="3" a="1"/>
  <c r="E280" i="3" s="1"/>
  <c r="F280" i="3" s="1"/>
  <c r="G278" i="3"/>
  <c r="G280" i="3" l="1"/>
  <c r="M53" i="3"/>
  <c r="C281" i="3" a="1"/>
  <c r="K53" i="3"/>
  <c r="B54" i="5" s="1"/>
  <c r="C281" i="3" l="1"/>
  <c r="D286" i="3"/>
  <c r="D283" i="3"/>
  <c r="D282" i="3"/>
  <c r="D284" i="3"/>
  <c r="D285" i="3"/>
  <c r="D281" i="3" l="1"/>
  <c r="L54" i="3" s="1"/>
  <c r="E281" i="3" l="1" a="1"/>
  <c r="E281" i="3" s="1"/>
  <c r="F281" i="3" s="1"/>
  <c r="G281" i="3" l="1"/>
  <c r="E282" i="3" a="1"/>
  <c r="E282" i="3" s="1"/>
  <c r="F282" i="3" s="1"/>
  <c r="G282" i="3" s="1"/>
  <c r="E125" i="4"/>
  <c r="F125" i="4" s="1"/>
  <c r="G125" i="4" l="1"/>
  <c r="C24" i="5"/>
  <c r="E283" i="3" a="1"/>
  <c r="E283" i="3" s="1"/>
  <c r="C131" i="4"/>
  <c r="E126" i="4"/>
  <c r="F283" i="3" l="1"/>
  <c r="E284" i="3" a="1"/>
  <c r="E284" i="3" s="1"/>
  <c r="D131" i="4"/>
  <c r="F126" i="4"/>
  <c r="E127" i="4"/>
  <c r="F127" i="4" s="1"/>
  <c r="P131" i="4" l="1"/>
  <c r="F284" i="3"/>
  <c r="G284" i="3" s="1"/>
  <c r="E285" i="3" a="1"/>
  <c r="E285" i="3" s="1"/>
  <c r="G283" i="3"/>
  <c r="E128" i="4"/>
  <c r="F128" i="4" s="1"/>
  <c r="C133" i="4"/>
  <c r="G127" i="4"/>
  <c r="C132" i="4"/>
  <c r="G126" i="4"/>
  <c r="F285" i="3" l="1"/>
  <c r="E286" i="3" a="1"/>
  <c r="E286" i="3" s="1"/>
  <c r="F286" i="3" s="1"/>
  <c r="D133" i="4"/>
  <c r="P133" i="4" s="1"/>
  <c r="E129" i="4"/>
  <c r="F129" i="4" s="1"/>
  <c r="C134" i="4"/>
  <c r="G128" i="4"/>
  <c r="D132" i="4"/>
  <c r="P132" i="4" l="1"/>
  <c r="G286" i="3"/>
  <c r="M54" i="3"/>
  <c r="G285" i="3"/>
  <c r="K54" i="3"/>
  <c r="B55" i="5" s="1"/>
  <c r="C287" i="3" a="1"/>
  <c r="E130" i="4"/>
  <c r="F130" i="4" s="1"/>
  <c r="K28" i="4" s="1"/>
  <c r="D134" i="4"/>
  <c r="P134" i="4" s="1"/>
  <c r="C135" i="4"/>
  <c r="G129" i="4"/>
  <c r="M28" i="4" l="1"/>
  <c r="C287" i="3"/>
  <c r="D290" i="3"/>
  <c r="D292" i="3"/>
  <c r="D291" i="3"/>
  <c r="D288" i="3"/>
  <c r="D289" i="3"/>
  <c r="G130" i="4"/>
  <c r="C136" i="4"/>
  <c r="D135" i="4"/>
  <c r="P135" i="4" s="1"/>
  <c r="D287" i="3" l="1"/>
  <c r="L55" i="3" s="1"/>
  <c r="D136" i="4"/>
  <c r="L29" i="4" s="1"/>
  <c r="P136" i="4" l="1"/>
  <c r="E287" i="3" a="1"/>
  <c r="E287" i="3" s="1"/>
  <c r="F287" i="3" s="1"/>
  <c r="G287" i="3" l="1"/>
  <c r="E288" i="3" a="1"/>
  <c r="E288" i="3" s="1"/>
  <c r="F288" i="3" s="1"/>
  <c r="G288" i="3" s="1"/>
  <c r="E289" i="3" l="1" a="1"/>
  <c r="E289" i="3" s="1"/>
  <c r="F289" i="3" s="1"/>
  <c r="G289" i="3" s="1"/>
  <c r="E290" i="3" l="1" a="1"/>
  <c r="E290" i="3" s="1"/>
  <c r="F290" i="3" l="1"/>
  <c r="E291" i="3" a="1"/>
  <c r="E291" i="3" s="1"/>
  <c r="F291" i="3" l="1"/>
  <c r="G291" i="3" s="1"/>
  <c r="E292" i="3" a="1"/>
  <c r="E292" i="3" s="1"/>
  <c r="F292" i="3" s="1"/>
  <c r="G290" i="3"/>
  <c r="C293" i="3" l="1" a="1"/>
  <c r="D297" i="3" s="1"/>
  <c r="K55" i="3"/>
  <c r="B56" i="5" s="1"/>
  <c r="G292" i="3"/>
  <c r="M55" i="3"/>
  <c r="D296" i="3" l="1"/>
  <c r="C293" i="3"/>
  <c r="D293" i="3" s="1"/>
  <c r="D298" i="3"/>
  <c r="D294" i="3"/>
  <c r="D295" i="3"/>
  <c r="L56" i="3" l="1"/>
  <c r="E293" i="3" a="1"/>
  <c r="E293" i="3" s="1"/>
  <c r="E294" i="3" l="1" a="1"/>
  <c r="E294" i="3" s="1"/>
  <c r="F294" i="3" s="1"/>
  <c r="G294" i="3" s="1"/>
  <c r="F293" i="3"/>
  <c r="E295" i="3" l="1" a="1"/>
  <c r="E295" i="3" s="1"/>
  <c r="G293" i="3"/>
  <c r="F295" i="3" l="1"/>
  <c r="E296" i="3" a="1"/>
  <c r="E296" i="3" s="1"/>
  <c r="F296" i="3" s="1"/>
  <c r="G296" i="3" s="1"/>
  <c r="G295" i="3" l="1"/>
  <c r="E297" i="3" a="1"/>
  <c r="E297" i="3" s="1"/>
  <c r="F297" i="3" l="1"/>
  <c r="E298" i="3" a="1"/>
  <c r="E298" i="3" s="1"/>
  <c r="F298" i="3" s="1"/>
  <c r="G298" i="3" l="1"/>
  <c r="M56" i="3"/>
  <c r="G297" i="3"/>
  <c r="C299" i="3" a="1"/>
  <c r="K56" i="3"/>
  <c r="B57" i="5" s="1"/>
  <c r="C299" i="3" l="1"/>
  <c r="D300" i="3"/>
  <c r="D301" i="3"/>
  <c r="D302" i="3"/>
  <c r="D304" i="3"/>
  <c r="D303" i="3"/>
  <c r="D299" i="3" l="1"/>
  <c r="L57" i="3" s="1"/>
  <c r="E299" i="3" l="1" a="1"/>
  <c r="E299" i="3" s="1"/>
  <c r="E300" i="3" s="1" a="1"/>
  <c r="E300" i="3" s="1"/>
  <c r="F300" i="3" s="1"/>
  <c r="G300" i="3" s="1"/>
  <c r="F299" i="3" l="1"/>
  <c r="G299" i="3" s="1"/>
  <c r="E301" i="3" a="1"/>
  <c r="E301" i="3" s="1"/>
  <c r="F301" i="3" s="1"/>
  <c r="G301" i="3" s="1"/>
  <c r="E302" i="3" l="1" a="1"/>
  <c r="E302" i="3" s="1"/>
  <c r="F302" i="3" s="1"/>
  <c r="E303" i="3" l="1" a="1"/>
  <c r="E303" i="3" s="1"/>
  <c r="F303" i="3" s="1"/>
  <c r="G303" i="3" s="1"/>
  <c r="G302" i="3"/>
  <c r="E304" i="3" l="1" a="1"/>
  <c r="E304" i="3" s="1"/>
  <c r="F304" i="3" s="1"/>
  <c r="K57" i="3" s="1"/>
  <c r="B58" i="5" s="1"/>
  <c r="M57" i="3" l="1"/>
  <c r="G304" i="3"/>
  <c r="C305" i="3" a="1"/>
  <c r="D309" i="3" s="1"/>
  <c r="E131" i="4"/>
  <c r="F131" i="4" s="1"/>
  <c r="C25" i="5" l="1"/>
  <c r="D306" i="3"/>
  <c r="D308" i="3"/>
  <c r="D310" i="3"/>
  <c r="C305" i="3"/>
  <c r="D305" i="3" s="1"/>
  <c r="D307" i="3"/>
  <c r="C137" i="4"/>
  <c r="G131" i="4"/>
  <c r="E132" i="4"/>
  <c r="L58" i="3" l="1"/>
  <c r="E305" i="3" a="1"/>
  <c r="E305" i="3" s="1"/>
  <c r="F305" i="3" s="1"/>
  <c r="E133" i="4"/>
  <c r="F133" i="4" s="1"/>
  <c r="F132" i="4"/>
  <c r="D137" i="4"/>
  <c r="P137" i="4" l="1"/>
  <c r="G305" i="3"/>
  <c r="E306" i="3" a="1"/>
  <c r="E306" i="3" s="1"/>
  <c r="F306" i="3" s="1"/>
  <c r="G306" i="3" s="1"/>
  <c r="G132" i="4"/>
  <c r="C138" i="4"/>
  <c r="C139" i="4"/>
  <c r="G133" i="4"/>
  <c r="E134" i="4"/>
  <c r="F134" i="4" s="1"/>
  <c r="E307" i="3" l="1" a="1"/>
  <c r="E307" i="3" s="1"/>
  <c r="F307" i="3" s="1"/>
  <c r="G307" i="3" s="1"/>
  <c r="E135" i="4"/>
  <c r="F135" i="4" s="1"/>
  <c r="D138" i="4"/>
  <c r="D139" i="4"/>
  <c r="P139" i="4" s="1"/>
  <c r="G134" i="4"/>
  <c r="C140" i="4"/>
  <c r="P138" i="4" l="1"/>
  <c r="E308" i="3" a="1"/>
  <c r="E308" i="3" s="1"/>
  <c r="D140" i="4"/>
  <c r="P140" i="4" s="1"/>
  <c r="C141" i="4"/>
  <c r="G135" i="4"/>
  <c r="E136" i="4"/>
  <c r="F136" i="4" s="1"/>
  <c r="K29" i="4" s="1"/>
  <c r="M29" i="4" l="1"/>
  <c r="F308" i="3"/>
  <c r="E309" i="3" a="1"/>
  <c r="E309" i="3" s="1"/>
  <c r="G136" i="4"/>
  <c r="C142" i="4"/>
  <c r="D141" i="4"/>
  <c r="P141" i="4" s="1"/>
  <c r="F309" i="3" l="1"/>
  <c r="G309" i="3" s="1"/>
  <c r="E310" i="3" a="1"/>
  <c r="E310" i="3" s="1"/>
  <c r="F310" i="3" s="1"/>
  <c r="K58" i="3" s="1"/>
  <c r="B59" i="5" s="1"/>
  <c r="G308" i="3"/>
  <c r="D142" i="4"/>
  <c r="L30" i="4" s="1"/>
  <c r="P142" i="4" l="1"/>
  <c r="C311" i="3" a="1"/>
  <c r="G310" i="3"/>
  <c r="M58" i="3"/>
  <c r="C311" i="3" l="1"/>
  <c r="D314" i="3"/>
  <c r="D316" i="3"/>
  <c r="D315" i="3"/>
  <c r="D312" i="3"/>
  <c r="D313" i="3"/>
  <c r="D311" i="3" l="1"/>
  <c r="L59" i="3" s="1"/>
  <c r="E311" i="3" l="1" a="1"/>
  <c r="E311" i="3" s="1"/>
  <c r="E312" i="3" s="1" a="1"/>
  <c r="E312" i="3" s="1"/>
  <c r="F312" i="3" s="1"/>
  <c r="G312" i="3" s="1"/>
  <c r="F311" i="3" l="1"/>
  <c r="G311" i="3" s="1"/>
  <c r="E313" i="3" a="1"/>
  <c r="E313" i="3" s="1"/>
  <c r="F313" i="3" s="1"/>
  <c r="G313" i="3" s="1"/>
  <c r="E314" i="3" l="1" a="1"/>
  <c r="E314" i="3" s="1"/>
  <c r="F314" i="3" l="1"/>
  <c r="E315" i="3" a="1"/>
  <c r="E315" i="3" s="1"/>
  <c r="F315" i="3" l="1"/>
  <c r="G315" i="3" s="1"/>
  <c r="E316" i="3" a="1"/>
  <c r="E316" i="3" s="1"/>
  <c r="F316" i="3" s="1"/>
  <c r="C317" i="3" s="1" a="1"/>
  <c r="G314" i="3"/>
  <c r="E137" i="4"/>
  <c r="E138" i="4" s="1"/>
  <c r="C317" i="3" l="1"/>
  <c r="D322" i="3"/>
  <c r="D318" i="3"/>
  <c r="D319" i="3"/>
  <c r="D320" i="3"/>
  <c r="D321" i="3"/>
  <c r="K59" i="3"/>
  <c r="B60" i="5" s="1"/>
  <c r="G316" i="3"/>
  <c r="M59" i="3"/>
  <c r="E139" i="4"/>
  <c r="F138" i="4"/>
  <c r="F137" i="4"/>
  <c r="C26" i="5" l="1"/>
  <c r="D317" i="3"/>
  <c r="L60" i="3" s="1"/>
  <c r="G137" i="4"/>
  <c r="C143" i="4"/>
  <c r="E140" i="4"/>
  <c r="F140" i="4" s="1"/>
  <c r="C144" i="4"/>
  <c r="G138" i="4"/>
  <c r="F139" i="4"/>
  <c r="E317" i="3" l="1" a="1"/>
  <c r="E317" i="3" s="1"/>
  <c r="E318" i="3" s="1" a="1"/>
  <c r="E318" i="3" s="1"/>
  <c r="F318" i="3" s="1"/>
  <c r="G318" i="3" s="1"/>
  <c r="G139" i="4"/>
  <c r="C145" i="4"/>
  <c r="D144" i="4"/>
  <c r="E141" i="4"/>
  <c r="F141" i="4" s="1"/>
  <c r="D143" i="4"/>
  <c r="C146" i="4"/>
  <c r="G140" i="4"/>
  <c r="P143" i="4" l="1"/>
  <c r="P144" i="4"/>
  <c r="F317" i="3"/>
  <c r="G317" i="3" s="1"/>
  <c r="E319" i="3" a="1"/>
  <c r="E319" i="3" s="1"/>
  <c r="F319" i="3" s="1"/>
  <c r="G319" i="3" s="1"/>
  <c r="D146" i="4"/>
  <c r="P146" i="4" s="1"/>
  <c r="E142" i="4"/>
  <c r="F142" i="4" s="1"/>
  <c r="M30" i="4" s="1"/>
  <c r="D145" i="4"/>
  <c r="P145" i="4" s="1"/>
  <c r="C147" i="4"/>
  <c r="G141" i="4"/>
  <c r="K30" i="4" l="1"/>
  <c r="E320" i="3" a="1"/>
  <c r="E320" i="3" s="1"/>
  <c r="D147" i="4"/>
  <c r="P147" i="4" s="1"/>
  <c r="C148" i="4"/>
  <c r="G142" i="4"/>
  <c r="F320" i="3" l="1"/>
  <c r="E321" i="3" a="1"/>
  <c r="E321" i="3" s="1"/>
  <c r="D148" i="4"/>
  <c r="L31" i="4" s="1"/>
  <c r="P148" i="4" l="1"/>
  <c r="E143" i="4" s="1"/>
  <c r="F321" i="3"/>
  <c r="G321" i="3" s="1"/>
  <c r="E322" i="3" a="1"/>
  <c r="E322" i="3" s="1"/>
  <c r="F322" i="3" s="1"/>
  <c r="C323" i="3" s="1" a="1"/>
  <c r="G320" i="3"/>
  <c r="C323" i="3" l="1"/>
  <c r="D326" i="3"/>
  <c r="D327" i="3"/>
  <c r="D325" i="3"/>
  <c r="D324" i="3"/>
  <c r="D328" i="3"/>
  <c r="G322" i="3"/>
  <c r="M60" i="3"/>
  <c r="K60" i="3"/>
  <c r="B61" i="5" s="1"/>
  <c r="E144" i="4"/>
  <c r="F144" i="4" s="1"/>
  <c r="F143" i="4"/>
  <c r="C27" i="5" l="1"/>
  <c r="D323" i="3"/>
  <c r="L61" i="3" s="1"/>
  <c r="E145" i="4"/>
  <c r="F145" i="4" s="1"/>
  <c r="C149" i="4"/>
  <c r="G143" i="4"/>
  <c r="G144" i="4"/>
  <c r="C150" i="4"/>
  <c r="E323" i="3" l="1" a="1"/>
  <c r="E323" i="3" s="1"/>
  <c r="F323" i="3" s="1"/>
  <c r="C151" i="4"/>
  <c r="G145" i="4"/>
  <c r="D149" i="4"/>
  <c r="D150" i="4"/>
  <c r="E146" i="4"/>
  <c r="F146" i="4" s="1"/>
  <c r="P150" i="4" l="1"/>
  <c r="P149" i="4"/>
  <c r="E324" i="3" a="1"/>
  <c r="E324" i="3" s="1"/>
  <c r="F324" i="3" s="1"/>
  <c r="G324" i="3" s="1"/>
  <c r="G323" i="3"/>
  <c r="C152" i="4"/>
  <c r="G146" i="4"/>
  <c r="D151" i="4"/>
  <c r="P151" i="4" s="1"/>
  <c r="E147" i="4"/>
  <c r="F147" i="4" s="1"/>
  <c r="E325" i="3" l="1" a="1"/>
  <c r="E325" i="3" s="1"/>
  <c r="F325" i="3" s="1"/>
  <c r="G325" i="3" s="1"/>
  <c r="D152" i="4"/>
  <c r="P152" i="4" s="1"/>
  <c r="E148" i="4"/>
  <c r="F148" i="4" s="1"/>
  <c r="K31" i="4" s="1"/>
  <c r="G147" i="4"/>
  <c r="C153" i="4"/>
  <c r="M31" i="4" l="1"/>
  <c r="E326" i="3" a="1"/>
  <c r="E326" i="3" s="1"/>
  <c r="F326" i="3" s="1"/>
  <c r="D153" i="4"/>
  <c r="P153" i="4" s="1"/>
  <c r="C154" i="4"/>
  <c r="G148" i="4"/>
  <c r="E327" i="3" l="1" a="1"/>
  <c r="E327" i="3" s="1"/>
  <c r="F327" i="3" s="1"/>
  <c r="G327" i="3" s="1"/>
  <c r="G326" i="3"/>
  <c r="D154" i="4"/>
  <c r="P154" i="4" s="1"/>
  <c r="L32" i="4" l="1"/>
  <c r="E328" i="3" a="1"/>
  <c r="E328" i="3" s="1"/>
  <c r="F328" i="3" s="1"/>
  <c r="G328" i="3" s="1"/>
  <c r="E149" i="4"/>
  <c r="K61" i="3" l="1"/>
  <c r="B62" i="5" s="1"/>
  <c r="C329" i="3" a="1"/>
  <c r="D330" i="3" s="1"/>
  <c r="M61" i="3"/>
  <c r="E150" i="4"/>
  <c r="F150" i="4" s="1"/>
  <c r="F149" i="4"/>
  <c r="C28" i="5" l="1"/>
  <c r="D332" i="3"/>
  <c r="D334" i="3"/>
  <c r="D333" i="3"/>
  <c r="D331" i="3"/>
  <c r="C329" i="3"/>
  <c r="D329" i="3" s="1"/>
  <c r="E151" i="4"/>
  <c r="F151" i="4" s="1"/>
  <c r="G149" i="4"/>
  <c r="C155" i="4"/>
  <c r="G150" i="4"/>
  <c r="C156" i="4"/>
  <c r="L62" i="3" l="1"/>
  <c r="E329" i="3" a="1"/>
  <c r="E329" i="3" s="1"/>
  <c r="F329" i="3" s="1"/>
  <c r="D156" i="4"/>
  <c r="D155" i="4"/>
  <c r="G151" i="4"/>
  <c r="C157" i="4"/>
  <c r="E152" i="4"/>
  <c r="F152" i="4" s="1"/>
  <c r="P155" i="4" l="1"/>
  <c r="P156" i="4"/>
  <c r="G329" i="3"/>
  <c r="E330" i="3" a="1"/>
  <c r="E330" i="3" s="1"/>
  <c r="F330" i="3" s="1"/>
  <c r="G330" i="3" s="1"/>
  <c r="D157" i="4"/>
  <c r="P157" i="4" s="1"/>
  <c r="C158" i="4"/>
  <c r="G152" i="4"/>
  <c r="E153" i="4"/>
  <c r="E331" i="3" l="1" a="1"/>
  <c r="E331" i="3" s="1"/>
  <c r="D158" i="4"/>
  <c r="P158" i="4" s="1"/>
  <c r="F153" i="4"/>
  <c r="E154" i="4"/>
  <c r="F154" i="4" s="1"/>
  <c r="K32" i="4" s="1"/>
  <c r="M32" i="4" l="1"/>
  <c r="F331" i="3"/>
  <c r="E332" i="3" a="1"/>
  <c r="E332" i="3" s="1"/>
  <c r="F332" i="3" s="1"/>
  <c r="G332" i="3" s="1"/>
  <c r="G154" i="4"/>
  <c r="C160" i="4"/>
  <c r="G153" i="4"/>
  <c r="C159" i="4"/>
  <c r="E333" i="3" l="1" a="1"/>
  <c r="E333" i="3" s="1"/>
  <c r="G331" i="3"/>
  <c r="D159" i="4"/>
  <c r="D160" i="4"/>
  <c r="P160" i="4" s="1"/>
  <c r="L33" i="4" l="1"/>
  <c r="P159" i="4"/>
  <c r="E155" i="4" s="1"/>
  <c r="F333" i="3"/>
  <c r="E334" i="3" a="1"/>
  <c r="E334" i="3" s="1"/>
  <c r="F334" i="3" s="1"/>
  <c r="G334" i="3" l="1"/>
  <c r="M62" i="3"/>
  <c r="G333" i="3"/>
  <c r="K62" i="3"/>
  <c r="B63" i="5" s="1"/>
  <c r="C335" i="3" a="1"/>
  <c r="F155" i="4"/>
  <c r="E156" i="4"/>
  <c r="F156" i="4" s="1"/>
  <c r="C29" i="5" l="1"/>
  <c r="C335" i="3"/>
  <c r="D339" i="3"/>
  <c r="D337" i="3"/>
  <c r="D336" i="3"/>
  <c r="D338" i="3"/>
  <c r="D340" i="3"/>
  <c r="E157" i="4"/>
  <c r="F157" i="4" s="1"/>
  <c r="C162" i="4"/>
  <c r="G156" i="4"/>
  <c r="C161" i="4"/>
  <c r="G155" i="4"/>
  <c r="D335" i="3" l="1"/>
  <c r="L63" i="3" s="1"/>
  <c r="E158" i="4"/>
  <c r="F158" i="4" s="1"/>
  <c r="C163" i="4"/>
  <c r="G157" i="4"/>
  <c r="D162" i="4"/>
  <c r="D161" i="4"/>
  <c r="P162" i="4" l="1"/>
  <c r="P161" i="4"/>
  <c r="E335" i="3" a="1"/>
  <c r="E335" i="3" s="1"/>
  <c r="F335" i="3" s="1"/>
  <c r="D163" i="4"/>
  <c r="P163" i="4" s="1"/>
  <c r="E159" i="4"/>
  <c r="F159" i="4" s="1"/>
  <c r="G158" i="4"/>
  <c r="C164" i="4"/>
  <c r="G335" i="3" l="1"/>
  <c r="E336" i="3" a="1"/>
  <c r="E336" i="3" s="1"/>
  <c r="F336" i="3" s="1"/>
  <c r="G336" i="3" s="1"/>
  <c r="D164" i="4"/>
  <c r="P164" i="4" s="1"/>
  <c r="E160" i="4"/>
  <c r="F160" i="4" s="1"/>
  <c r="K33" i="4" s="1"/>
  <c r="C165" i="4"/>
  <c r="G159" i="4"/>
  <c r="M33" i="4" l="1"/>
  <c r="E337" i="3" a="1"/>
  <c r="E337" i="3" s="1"/>
  <c r="C166" i="4"/>
  <c r="G160" i="4"/>
  <c r="D165" i="4"/>
  <c r="P165" i="4" s="1"/>
  <c r="F337" i="3" l="1"/>
  <c r="E338" i="3" a="1"/>
  <c r="E338" i="3" s="1"/>
  <c r="D166" i="4"/>
  <c r="L34" i="4" s="1"/>
  <c r="P166" i="4" l="1"/>
  <c r="F338" i="3"/>
  <c r="G338" i="3" s="1"/>
  <c r="E339" i="3" a="1"/>
  <c r="E339" i="3" s="1"/>
  <c r="G337" i="3"/>
  <c r="F339" i="3" l="1"/>
  <c r="E340" i="3" a="1"/>
  <c r="E340" i="3" s="1"/>
  <c r="F340" i="3" s="1"/>
  <c r="G340" i="3" l="1"/>
  <c r="M63" i="3"/>
  <c r="G339" i="3"/>
  <c r="K63" i="3"/>
  <c r="B64" i="5" s="1"/>
  <c r="C341" i="3" a="1"/>
  <c r="C341" i="3" l="1"/>
  <c r="D344" i="3"/>
  <c r="D342" i="3"/>
  <c r="D346" i="3"/>
  <c r="D345" i="3"/>
  <c r="D343" i="3"/>
  <c r="D341" i="3" l="1"/>
  <c r="L64" i="3" s="1"/>
  <c r="E341" i="3" l="1" a="1"/>
  <c r="E341" i="3" s="1"/>
  <c r="F341" i="3" s="1"/>
  <c r="G341" i="3" l="1"/>
  <c r="E342" i="3" a="1"/>
  <c r="E342" i="3" s="1"/>
  <c r="F342" i="3" s="1"/>
  <c r="G342" i="3" s="1"/>
  <c r="E343" i="3" l="1" a="1"/>
  <c r="E343" i="3" s="1"/>
  <c r="F343" i="3" s="1"/>
  <c r="G343" i="3" s="1"/>
  <c r="E344" i="3" l="1" a="1"/>
  <c r="E344" i="3" s="1"/>
  <c r="F344" i="3" s="1"/>
  <c r="G344" i="3" s="1"/>
  <c r="E345" i="3" l="1" a="1"/>
  <c r="E345" i="3" s="1"/>
  <c r="F345" i="3" l="1"/>
  <c r="E346" i="3" a="1"/>
  <c r="E346" i="3" s="1"/>
  <c r="F346" i="3" s="1"/>
  <c r="G346" i="3" l="1"/>
  <c r="M64" i="3"/>
  <c r="G345" i="3"/>
  <c r="K64" i="3"/>
  <c r="B65" i="5" s="1"/>
  <c r="C347" i="3" a="1"/>
  <c r="C347" i="3" l="1"/>
  <c r="D351" i="3"/>
  <c r="D352" i="3"/>
  <c r="D348" i="3"/>
  <c r="D349" i="3"/>
  <c r="D350" i="3"/>
  <c r="E161" i="4"/>
  <c r="D347" i="3" l="1"/>
  <c r="L65" i="3" s="1"/>
  <c r="E162" i="4"/>
  <c r="F161" i="4"/>
  <c r="C30" i="5" l="1"/>
  <c r="E347" i="3" a="1"/>
  <c r="E347" i="3" s="1"/>
  <c r="F347" i="3" s="1"/>
  <c r="F162" i="4"/>
  <c r="E163" i="4"/>
  <c r="F163" i="4" s="1"/>
  <c r="G161" i="4"/>
  <c r="C167" i="4"/>
  <c r="E348" i="3" l="1" a="1"/>
  <c r="E348" i="3" s="1"/>
  <c r="F348" i="3" s="1"/>
  <c r="G348" i="3" s="1"/>
  <c r="G347" i="3"/>
  <c r="D167" i="4"/>
  <c r="C169" i="4"/>
  <c r="G163" i="4"/>
  <c r="E164" i="4"/>
  <c r="F164" i="4" s="1"/>
  <c r="G162" i="4"/>
  <c r="C168" i="4"/>
  <c r="P167" i="4" l="1"/>
  <c r="E349" i="3" a="1"/>
  <c r="E349" i="3" s="1"/>
  <c r="F349" i="3" s="1"/>
  <c r="G349" i="3" s="1"/>
  <c r="E165" i="4"/>
  <c r="F165" i="4" s="1"/>
  <c r="D169" i="4"/>
  <c r="P169" i="4" s="1"/>
  <c r="D168" i="4"/>
  <c r="G164" i="4"/>
  <c r="C170" i="4"/>
  <c r="P168" i="4" l="1"/>
  <c r="E350" i="3" a="1"/>
  <c r="E350" i="3" s="1"/>
  <c r="F350" i="3" s="1"/>
  <c r="D170" i="4"/>
  <c r="P170" i="4" s="1"/>
  <c r="G165" i="4"/>
  <c r="C171" i="4"/>
  <c r="E166" i="4"/>
  <c r="F166" i="4" s="1"/>
  <c r="K34" i="4" s="1"/>
  <c r="M34" i="4" l="1"/>
  <c r="E351" i="3" a="1"/>
  <c r="E351" i="3" s="1"/>
  <c r="F351" i="3" s="1"/>
  <c r="G351" i="3" s="1"/>
  <c r="G350" i="3"/>
  <c r="C172" i="4"/>
  <c r="G166" i="4"/>
  <c r="D171" i="4"/>
  <c r="P171" i="4" s="1"/>
  <c r="E352" i="3" l="1" a="1"/>
  <c r="E352" i="3" s="1"/>
  <c r="F352" i="3" s="1"/>
  <c r="K65" i="3" s="1"/>
  <c r="B66" i="5" s="1"/>
  <c r="D172" i="4"/>
  <c r="L35" i="4" s="1"/>
  <c r="P172" i="4" l="1"/>
  <c r="M65" i="3"/>
  <c r="G352" i="3"/>
  <c r="C353" i="3" a="1"/>
  <c r="D356" i="3" s="1"/>
  <c r="E167" i="4"/>
  <c r="F167" i="4" s="1"/>
  <c r="C173" i="4" l="1"/>
  <c r="D173" i="4" s="1"/>
  <c r="C31" i="5"/>
  <c r="D354" i="3"/>
  <c r="D357" i="3"/>
  <c r="D355" i="3"/>
  <c r="D358" i="3"/>
  <c r="C353" i="3"/>
  <c r="D353" i="3" s="1"/>
  <c r="G167" i="4"/>
  <c r="E168" i="4"/>
  <c r="F168" i="4" s="1"/>
  <c r="P173" i="4" l="1"/>
  <c r="G168" i="4"/>
  <c r="L66" i="3"/>
  <c r="E353" i="3" a="1"/>
  <c r="E353" i="3" s="1"/>
  <c r="F353" i="3" s="1"/>
  <c r="E169" i="4"/>
  <c r="F169" i="4" s="1"/>
  <c r="C174" i="4"/>
  <c r="D174" i="4" l="1"/>
  <c r="P174" i="4" s="1"/>
  <c r="G353" i="3"/>
  <c r="E354" i="3" a="1"/>
  <c r="E354" i="3" s="1"/>
  <c r="F354" i="3" s="1"/>
  <c r="G354" i="3" s="1"/>
  <c r="E170" i="4"/>
  <c r="F170" i="4" s="1"/>
  <c r="G170" i="4" s="1"/>
  <c r="C175" i="4"/>
  <c r="G169" i="4"/>
  <c r="E355" i="3" l="1" a="1"/>
  <c r="E355" i="3" s="1"/>
  <c r="E171" i="4"/>
  <c r="F171" i="4" s="1"/>
  <c r="C177" i="4" s="1"/>
  <c r="C176" i="4"/>
  <c r="D175" i="4"/>
  <c r="P175" i="4" s="1"/>
  <c r="D176" i="4" l="1"/>
  <c r="P176" i="4" s="1"/>
  <c r="F355" i="3"/>
  <c r="E356" i="3" a="1"/>
  <c r="E356" i="3" s="1"/>
  <c r="F356" i="3" s="1"/>
  <c r="G356" i="3" s="1"/>
  <c r="E172" i="4"/>
  <c r="F172" i="4" s="1"/>
  <c r="K35" i="4" s="1"/>
  <c r="G171" i="4"/>
  <c r="D177" i="4"/>
  <c r="P177" i="4" s="1"/>
  <c r="C178" i="4" l="1"/>
  <c r="D178" i="4" s="1"/>
  <c r="L36" i="4" s="1"/>
  <c r="M35" i="4"/>
  <c r="E357" i="3" a="1"/>
  <c r="E357" i="3" s="1"/>
  <c r="G355" i="3"/>
  <c r="G172" i="4"/>
  <c r="P178" i="4" l="1"/>
  <c r="F357" i="3"/>
  <c r="E358" i="3" a="1"/>
  <c r="E358" i="3" s="1"/>
  <c r="F358" i="3" s="1"/>
  <c r="G358" i="3" l="1"/>
  <c r="M66" i="3"/>
  <c r="G357" i="3"/>
  <c r="K66" i="3"/>
  <c r="B67" i="5" s="1"/>
  <c r="C359" i="3" a="1"/>
  <c r="C359" i="3" l="1"/>
  <c r="D362" i="3"/>
  <c r="D364" i="3"/>
  <c r="D361" i="3"/>
  <c r="D363" i="3"/>
  <c r="D360" i="3"/>
  <c r="D359" i="3" l="1"/>
  <c r="L67" i="3" s="1"/>
  <c r="E359" i="3" l="1" a="1"/>
  <c r="E359" i="3" s="1"/>
  <c r="F359" i="3" s="1"/>
  <c r="G359" i="3" l="1"/>
  <c r="E360" i="3" a="1"/>
  <c r="E360" i="3" s="1"/>
  <c r="F360" i="3" s="1"/>
  <c r="G360" i="3" s="1"/>
  <c r="E361" i="3" l="1" a="1"/>
  <c r="E361" i="3" s="1"/>
  <c r="F361" i="3" l="1"/>
  <c r="E362" i="3" a="1"/>
  <c r="E362" i="3" s="1"/>
  <c r="F362" i="3" l="1"/>
  <c r="G362" i="3" s="1"/>
  <c r="E363" i="3" a="1"/>
  <c r="E363" i="3" s="1"/>
  <c r="G361" i="3"/>
  <c r="F363" i="3" l="1"/>
  <c r="E364" i="3" a="1"/>
  <c r="E364" i="3" s="1"/>
  <c r="F364" i="3" s="1"/>
  <c r="G364" i="3" l="1"/>
  <c r="M67" i="3"/>
  <c r="G363" i="3"/>
  <c r="C365" i="3" a="1"/>
  <c r="K67" i="3"/>
  <c r="B68" i="5" s="1"/>
  <c r="C365" i="3" l="1"/>
  <c r="D370" i="3"/>
  <c r="D369" i="3"/>
  <c r="D366" i="3"/>
  <c r="D368" i="3"/>
  <c r="D367" i="3"/>
  <c r="D365" i="3" l="1"/>
  <c r="L68" i="3" s="1"/>
  <c r="E365" i="3" l="1" a="1"/>
  <c r="E365" i="3" s="1"/>
  <c r="E366" i="3" l="1" a="1"/>
  <c r="E366" i="3" s="1"/>
  <c r="F366" i="3" s="1"/>
  <c r="G366" i="3" s="1"/>
  <c r="F365" i="3"/>
  <c r="G365" i="3" l="1"/>
  <c r="E367" i="3" a="1"/>
  <c r="E367" i="3" s="1"/>
  <c r="F367" i="3" s="1"/>
  <c r="G367" i="3" s="1"/>
  <c r="E368" i="3" l="1" a="1"/>
  <c r="E368" i="3" s="1"/>
  <c r="F368" i="3" s="1"/>
  <c r="G368" i="3" s="1"/>
  <c r="E173" i="4"/>
  <c r="F173" i="4" s="1"/>
  <c r="C32" i="5" l="1"/>
  <c r="E369" i="3" a="1"/>
  <c r="E369" i="3" s="1"/>
  <c r="C179" i="4"/>
  <c r="G173" i="4"/>
  <c r="E174" i="4"/>
  <c r="F369" i="3" l="1"/>
  <c r="E370" i="3" a="1"/>
  <c r="E370" i="3" s="1"/>
  <c r="F370" i="3" s="1"/>
  <c r="F174" i="4"/>
  <c r="E175" i="4"/>
  <c r="F175" i="4" s="1"/>
  <c r="D179" i="4"/>
  <c r="P179" i="4" l="1"/>
  <c r="G370" i="3"/>
  <c r="M68" i="3"/>
  <c r="G369" i="3"/>
  <c r="C371" i="3" a="1"/>
  <c r="K68" i="3"/>
  <c r="B69" i="5" s="1"/>
  <c r="G175" i="4"/>
  <c r="C181" i="4"/>
  <c r="C180" i="4"/>
  <c r="G174" i="4"/>
  <c r="E176" i="4"/>
  <c r="F176" i="4" s="1"/>
  <c r="C371" i="3" l="1"/>
  <c r="D375" i="3"/>
  <c r="D373" i="3"/>
  <c r="D372" i="3"/>
  <c r="D374" i="3"/>
  <c r="D376" i="3"/>
  <c r="D180" i="4"/>
  <c r="E177" i="4"/>
  <c r="F177" i="4" s="1"/>
  <c r="D181" i="4"/>
  <c r="P181" i="4" s="1"/>
  <c r="G176" i="4"/>
  <c r="C182" i="4"/>
  <c r="P180" i="4" l="1"/>
  <c r="D371" i="3"/>
  <c r="L69" i="3" s="1"/>
  <c r="G177" i="4"/>
  <c r="C183" i="4"/>
  <c r="D182" i="4"/>
  <c r="P182" i="4" s="1"/>
  <c r="E178" i="4"/>
  <c r="F178" i="4" s="1"/>
  <c r="K36" i="4" s="1"/>
  <c r="M36" i="4" l="1"/>
  <c r="E371" i="3" a="1"/>
  <c r="E371" i="3" s="1"/>
  <c r="D183" i="4"/>
  <c r="P183" i="4" s="1"/>
  <c r="C184" i="4"/>
  <c r="G178" i="4"/>
  <c r="E372" i="3" l="1" a="1"/>
  <c r="E372" i="3" s="1"/>
  <c r="F372" i="3" s="1"/>
  <c r="G372" i="3" s="1"/>
  <c r="F371" i="3"/>
  <c r="D184" i="4"/>
  <c r="L37" i="4" s="1"/>
  <c r="P184" i="4" l="1"/>
  <c r="G371" i="3"/>
  <c r="E373" i="3" a="1"/>
  <c r="E373" i="3" s="1"/>
  <c r="F373" i="3" s="1"/>
  <c r="G373" i="3" s="1"/>
  <c r="E374" i="3" l="1" a="1"/>
  <c r="E374" i="3" s="1"/>
  <c r="F374" i="3" l="1"/>
  <c r="E375" i="3" a="1"/>
  <c r="E375" i="3" s="1"/>
  <c r="F375" i="3" l="1"/>
  <c r="G375" i="3" s="1"/>
  <c r="E376" i="3" a="1"/>
  <c r="E376" i="3" s="1"/>
  <c r="F376" i="3" s="1"/>
  <c r="G374" i="3"/>
  <c r="K69" i="3" l="1"/>
  <c r="B70" i="5" s="1"/>
  <c r="G376" i="3"/>
  <c r="M69" i="3"/>
  <c r="C377" i="3" a="1"/>
  <c r="C377" i="3" l="1"/>
  <c r="D380" i="3"/>
  <c r="D381" i="3"/>
  <c r="D379" i="3"/>
  <c r="D382" i="3"/>
  <c r="D378" i="3"/>
  <c r="D377" i="3" l="1"/>
  <c r="L70" i="3" s="1"/>
  <c r="E377" i="3" l="1" a="1"/>
  <c r="E377" i="3" s="1"/>
  <c r="F377" i="3" s="1"/>
  <c r="E378" i="3" l="1" a="1"/>
  <c r="E378" i="3" s="1"/>
  <c r="F378" i="3" s="1"/>
  <c r="G378" i="3" s="1"/>
  <c r="G377" i="3"/>
  <c r="E379" i="3" l="1" a="1"/>
  <c r="E379" i="3" s="1"/>
  <c r="F379" i="3" s="1"/>
  <c r="E380" i="3" l="1" a="1"/>
  <c r="E380" i="3" s="1"/>
  <c r="F380" i="3" s="1"/>
  <c r="G380" i="3" s="1"/>
  <c r="G379" i="3"/>
  <c r="E381" i="3" l="1" a="1"/>
  <c r="E381" i="3" s="1"/>
  <c r="F381" i="3" s="1"/>
  <c r="E382" i="3" l="1" a="1"/>
  <c r="E382" i="3" s="1"/>
  <c r="F382" i="3" s="1"/>
  <c r="G382" i="3" s="1"/>
  <c r="G381" i="3"/>
  <c r="C383" i="3" l="1" a="1"/>
  <c r="C383" i="3" s="1"/>
  <c r="M70" i="3"/>
  <c r="K70" i="3"/>
  <c r="B71" i="5" s="1"/>
  <c r="D385" i="3" l="1"/>
  <c r="D388" i="3"/>
  <c r="D384" i="3"/>
  <c r="D387" i="3"/>
  <c r="D386" i="3"/>
  <c r="D383" i="3"/>
  <c r="L71" i="3" l="1"/>
  <c r="E383" i="3" a="1"/>
  <c r="E383" i="3" s="1"/>
  <c r="F383" i="3" s="1"/>
  <c r="G383" i="3" l="1"/>
  <c r="E384" i="3" a="1"/>
  <c r="E384" i="3" s="1"/>
  <c r="F384" i="3" s="1"/>
  <c r="G384" i="3" s="1"/>
  <c r="E385" i="3" l="1" a="1"/>
  <c r="E385" i="3" s="1"/>
  <c r="F385" i="3" s="1"/>
  <c r="G385" i="3" s="1"/>
  <c r="E386" i="3" l="1" a="1"/>
  <c r="E386" i="3" s="1"/>
  <c r="F386" i="3" l="1"/>
  <c r="E387" i="3" a="1"/>
  <c r="E387" i="3" s="1"/>
  <c r="F387" i="3" l="1"/>
  <c r="G387" i="3" s="1"/>
  <c r="E388" i="3" a="1"/>
  <c r="E388" i="3" s="1"/>
  <c r="F388" i="3" s="1"/>
  <c r="G386" i="3"/>
  <c r="C389" i="3" l="1" a="1"/>
  <c r="C389" i="3" s="1"/>
  <c r="K71" i="3"/>
  <c r="B72" i="5" s="1"/>
  <c r="G388" i="3"/>
  <c r="M71" i="3"/>
  <c r="D394" i="3" l="1"/>
  <c r="D393" i="3"/>
  <c r="D392" i="3"/>
  <c r="D390" i="3"/>
  <c r="D391" i="3"/>
  <c r="D389" i="3"/>
  <c r="E179" i="4"/>
  <c r="F179" i="4" s="1"/>
  <c r="B6" i="3" l="1"/>
  <c r="K6" i="5" s="1"/>
  <c r="L72" i="3"/>
  <c r="C33" i="5"/>
  <c r="E389" i="3" a="1"/>
  <c r="E389" i="3" s="1"/>
  <c r="E390" i="3" s="1" a="1"/>
  <c r="E390" i="3" s="1"/>
  <c r="F390" i="3" s="1"/>
  <c r="G390" i="3" s="1"/>
  <c r="C185" i="4"/>
  <c r="G179" i="4"/>
  <c r="E180" i="4"/>
  <c r="E181" i="4" s="1"/>
  <c r="F181" i="4" s="1"/>
  <c r="D8" i="3" l="1"/>
  <c r="D3" i="5"/>
  <c r="F389" i="3"/>
  <c r="G389" i="3" s="1"/>
  <c r="E391" i="3" a="1"/>
  <c r="E391" i="3" s="1"/>
  <c r="F391" i="3" s="1"/>
  <c r="G391" i="3" s="1"/>
  <c r="G181" i="4"/>
  <c r="C187" i="4"/>
  <c r="F180" i="4"/>
  <c r="E182" i="4"/>
  <c r="F182" i="4" s="1"/>
  <c r="D185" i="4"/>
  <c r="P185" i="4" l="1"/>
  <c r="E392" i="3" a="1"/>
  <c r="E392" i="3" s="1"/>
  <c r="C186" i="4"/>
  <c r="G180" i="4"/>
  <c r="E183" i="4"/>
  <c r="F183" i="4" s="1"/>
  <c r="C188" i="4"/>
  <c r="G182" i="4"/>
  <c r="D187" i="4"/>
  <c r="P187" i="4" s="1"/>
  <c r="F392" i="3" l="1"/>
  <c r="E393" i="3" a="1"/>
  <c r="E393" i="3" s="1"/>
  <c r="E184" i="4"/>
  <c r="F184" i="4" s="1"/>
  <c r="M37" i="4" s="1"/>
  <c r="D188" i="4"/>
  <c r="P188" i="4" s="1"/>
  <c r="C189" i="4"/>
  <c r="G183" i="4"/>
  <c r="D186" i="4"/>
  <c r="K37" i="4" l="1"/>
  <c r="P186" i="4"/>
  <c r="F393" i="3"/>
  <c r="G393" i="3" s="1"/>
  <c r="E394" i="3" a="1"/>
  <c r="E394" i="3" s="1"/>
  <c r="G392" i="3"/>
  <c r="D189" i="4"/>
  <c r="P189" i="4" s="1"/>
  <c r="C190" i="4"/>
  <c r="G184" i="4"/>
  <c r="B5" i="3" l="1" a="1"/>
  <c r="B5" i="3" s="1"/>
  <c r="B7" i="3"/>
  <c r="F394" i="3"/>
  <c r="K72" i="3" s="1"/>
  <c r="B73" i="5" s="1"/>
  <c r="D190" i="4"/>
  <c r="L38" i="4" s="1"/>
  <c r="A3" i="5" l="1"/>
  <c r="P190" i="4"/>
  <c r="E185" i="4" s="1"/>
  <c r="G394" i="3"/>
  <c r="M72" i="3"/>
  <c r="D7" i="3" l="1"/>
  <c r="F185" i="4"/>
  <c r="E186" i="4"/>
  <c r="F186" i="4" s="1"/>
  <c r="C34" i="5" l="1"/>
  <c r="G186" i="4"/>
  <c r="C192" i="4"/>
  <c r="E187" i="4"/>
  <c r="F187" i="4" s="1"/>
  <c r="G185" i="4"/>
  <c r="C191" i="4"/>
  <c r="D191" i="4" l="1"/>
  <c r="E188" i="4"/>
  <c r="F188" i="4" s="1"/>
  <c r="G187" i="4"/>
  <c r="C193" i="4"/>
  <c r="D192" i="4"/>
  <c r="P192" i="4" l="1"/>
  <c r="P191" i="4"/>
  <c r="D193" i="4"/>
  <c r="P193" i="4" s="1"/>
  <c r="E189" i="4"/>
  <c r="C194" i="4"/>
  <c r="G188" i="4"/>
  <c r="D194" i="4" l="1"/>
  <c r="P194" i="4" s="1"/>
  <c r="F189" i="4"/>
  <c r="E190" i="4"/>
  <c r="F190" i="4" s="1"/>
  <c r="K38" i="4" s="1"/>
  <c r="M38" i="4" l="1"/>
  <c r="C196" i="4"/>
  <c r="G190" i="4"/>
  <c r="G189" i="4"/>
  <c r="C195" i="4"/>
  <c r="D195" i="4" l="1"/>
  <c r="D196" i="4"/>
  <c r="P196" i="4" s="1"/>
  <c r="L39" i="4" l="1"/>
  <c r="P195" i="4"/>
  <c r="E191" i="4"/>
  <c r="E192" i="4" s="1"/>
  <c r="F192" i="4" s="1"/>
  <c r="F191" i="4" l="1"/>
  <c r="C198" i="4"/>
  <c r="G192" i="4"/>
  <c r="E193" i="4"/>
  <c r="G191" i="4" l="1"/>
  <c r="C35" i="5"/>
  <c r="C197" i="4"/>
  <c r="E194" i="4"/>
  <c r="F194" i="4" s="1"/>
  <c r="F193" i="4"/>
  <c r="D198" i="4"/>
  <c r="P198" i="4" l="1"/>
  <c r="D197" i="4"/>
  <c r="C199" i="4"/>
  <c r="G193" i="4"/>
  <c r="C200" i="4"/>
  <c r="G194" i="4"/>
  <c r="E195" i="4"/>
  <c r="F195" i="4" s="1"/>
  <c r="P197" i="4" l="1"/>
  <c r="C201" i="4"/>
  <c r="G195" i="4"/>
  <c r="D199" i="4"/>
  <c r="D200" i="4"/>
  <c r="P200" i="4" s="1"/>
  <c r="E196" i="4"/>
  <c r="F196" i="4" s="1"/>
  <c r="M39" i="4" s="1"/>
  <c r="K39" i="4" l="1"/>
  <c r="P199" i="4"/>
  <c r="G196" i="4"/>
  <c r="C202" i="4"/>
  <c r="D201" i="4"/>
  <c r="P201" i="4" s="1"/>
  <c r="D202" i="4" l="1"/>
  <c r="L40" i="4" s="1"/>
  <c r="P202" i="4" l="1"/>
  <c r="E197" i="4" s="1"/>
  <c r="F197" i="4" l="1"/>
  <c r="E198" i="4"/>
  <c r="C36" i="5" l="1"/>
  <c r="F198" i="4"/>
  <c r="C203" i="4"/>
  <c r="G197" i="4"/>
  <c r="E199" i="4"/>
  <c r="F199" i="4" s="1"/>
  <c r="D203" i="4" l="1"/>
  <c r="C205" i="4"/>
  <c r="G199" i="4"/>
  <c r="C204" i="4"/>
  <c r="G198" i="4"/>
  <c r="E200" i="4"/>
  <c r="F200" i="4" s="1"/>
  <c r="P203" i="4" l="1"/>
  <c r="D204" i="4"/>
  <c r="G200" i="4"/>
  <c r="C206" i="4"/>
  <c r="D205" i="4"/>
  <c r="P205" i="4" s="1"/>
  <c r="E201" i="4"/>
  <c r="F201" i="4" s="1"/>
  <c r="P204" i="4" l="1"/>
  <c r="C207" i="4"/>
  <c r="G201" i="4"/>
  <c r="D206" i="4"/>
  <c r="P206" i="4" s="1"/>
  <c r="E202" i="4"/>
  <c r="F202" i="4" s="1"/>
  <c r="K40" i="4" s="1"/>
  <c r="M40" i="4" l="1"/>
  <c r="G202" i="4"/>
  <c r="C208" i="4"/>
  <c r="D207" i="4"/>
  <c r="P207" i="4" s="1"/>
  <c r="D208" i="4" l="1"/>
  <c r="L41" i="4" s="1"/>
  <c r="P208" i="4" l="1"/>
  <c r="E203" i="4"/>
  <c r="F203" i="4" l="1"/>
  <c r="E204" i="4"/>
  <c r="F204" i="4" s="1"/>
  <c r="C37" i="5" l="1"/>
  <c r="E205" i="4"/>
  <c r="F205" i="4" s="1"/>
  <c r="C210" i="4"/>
  <c r="G204" i="4"/>
  <c r="C209" i="4"/>
  <c r="G203" i="4"/>
  <c r="E206" i="4" l="1"/>
  <c r="F206" i="4" s="1"/>
  <c r="D209" i="4"/>
  <c r="D210" i="4"/>
  <c r="G205" i="4"/>
  <c r="C211" i="4"/>
  <c r="P210" i="4" l="1"/>
  <c r="P209" i="4"/>
  <c r="E207" i="4"/>
  <c r="C212" i="4"/>
  <c r="G206" i="4"/>
  <c r="D211" i="4"/>
  <c r="P211" i="4" s="1"/>
  <c r="D212" i="4" l="1"/>
  <c r="F207" i="4"/>
  <c r="E208" i="4"/>
  <c r="F208" i="4" s="1"/>
  <c r="K41" i="4" s="1"/>
  <c r="M41" i="4" l="1"/>
  <c r="P212" i="4"/>
  <c r="C214" i="4"/>
  <c r="G208" i="4"/>
  <c r="G207" i="4"/>
  <c r="C213" i="4"/>
  <c r="D213" i="4" l="1"/>
  <c r="D214" i="4"/>
  <c r="P214" i="4" l="1"/>
  <c r="L42" i="4"/>
  <c r="P213" i="4"/>
  <c r="E209" i="4"/>
  <c r="E210" i="4" l="1"/>
  <c r="F210" i="4" s="1"/>
  <c r="F209" i="4"/>
  <c r="C38" i="5" l="1"/>
  <c r="C216" i="4"/>
  <c r="G210" i="4"/>
  <c r="E211" i="4"/>
  <c r="F211" i="4" s="1"/>
  <c r="C215" i="4"/>
  <c r="G209" i="4"/>
  <c r="D216" i="4" l="1"/>
  <c r="D215" i="4"/>
  <c r="E212" i="4"/>
  <c r="F212" i="4" s="1"/>
  <c r="C217" i="4"/>
  <c r="G211" i="4"/>
  <c r="P216" i="4" l="1"/>
  <c r="P215" i="4"/>
  <c r="E213" i="4"/>
  <c r="D217" i="4"/>
  <c r="P217" i="4" s="1"/>
  <c r="G212" i="4"/>
  <c r="C218" i="4"/>
  <c r="D218" i="4" l="1"/>
  <c r="P218" i="4" s="1"/>
  <c r="F213" i="4"/>
  <c r="E214" i="4"/>
  <c r="F214" i="4" s="1"/>
  <c r="K42" i="4" s="1"/>
  <c r="M42" i="4" l="1"/>
  <c r="G214" i="4"/>
  <c r="C220" i="4"/>
  <c r="G213" i="4"/>
  <c r="C219" i="4"/>
  <c r="D219" i="4" l="1"/>
  <c r="D220" i="4"/>
  <c r="P220" i="4" s="1"/>
  <c r="L43" i="4" l="1"/>
  <c r="P219" i="4"/>
  <c r="E215" i="4"/>
  <c r="E216" i="4" l="1"/>
  <c r="F216" i="4" s="1"/>
  <c r="F215" i="4"/>
  <c r="C39" i="5" l="1"/>
  <c r="C222" i="4"/>
  <c r="G216" i="4"/>
  <c r="E217" i="4"/>
  <c r="F217" i="4" s="1"/>
  <c r="C221" i="4"/>
  <c r="G215" i="4"/>
  <c r="E218" i="4" l="1"/>
  <c r="F218" i="4" s="1"/>
  <c r="D221" i="4"/>
  <c r="D222" i="4"/>
  <c r="C223" i="4"/>
  <c r="G217" i="4"/>
  <c r="P222" i="4" l="1"/>
  <c r="P221" i="4"/>
  <c r="D223" i="4"/>
  <c r="P223" i="4" s="1"/>
  <c r="E219" i="4"/>
  <c r="F219" i="4" s="1"/>
  <c r="G218" i="4"/>
  <c r="C224" i="4"/>
  <c r="E220" i="4" l="1"/>
  <c r="F220" i="4" s="1"/>
  <c r="K43" i="4" s="1"/>
  <c r="C225" i="4"/>
  <c r="G219" i="4"/>
  <c r="D224" i="4"/>
  <c r="P224" i="4" s="1"/>
  <c r="M43" i="4" l="1"/>
  <c r="D225" i="4"/>
  <c r="P225" i="4" s="1"/>
  <c r="C226" i="4"/>
  <c r="G220" i="4"/>
  <c r="D226" i="4" l="1"/>
  <c r="L44" i="4" s="1"/>
  <c r="P226" i="4" l="1"/>
  <c r="E221" i="4"/>
  <c r="E222" i="4" l="1"/>
  <c r="F222" i="4" s="1"/>
  <c r="F221" i="4"/>
  <c r="C40" i="5" l="1"/>
  <c r="G222" i="4"/>
  <c r="C228" i="4"/>
  <c r="G221" i="4"/>
  <c r="C227" i="4"/>
  <c r="E223" i="4"/>
  <c r="F223" i="4" s="1"/>
  <c r="E224" i="4" l="1"/>
  <c r="F224" i="4" s="1"/>
  <c r="C229" i="4"/>
  <c r="G223" i="4"/>
  <c r="D227" i="4"/>
  <c r="D228" i="4"/>
  <c r="P228" i="4" l="1"/>
  <c r="P227" i="4"/>
  <c r="D229" i="4"/>
  <c r="P229" i="4" s="1"/>
  <c r="E225" i="4"/>
  <c r="G224" i="4"/>
  <c r="C230" i="4"/>
  <c r="F225" i="4" l="1"/>
  <c r="E226" i="4"/>
  <c r="F226" i="4" s="1"/>
  <c r="K44" i="4" s="1"/>
  <c r="D230" i="4"/>
  <c r="P230" i="4" s="1"/>
  <c r="M44" i="4" l="1"/>
  <c r="C231" i="4"/>
  <c r="G225" i="4"/>
  <c r="C232" i="4"/>
  <c r="G226" i="4"/>
  <c r="D232" i="4" l="1"/>
  <c r="P232" i="4" s="1"/>
  <c r="D231" i="4"/>
  <c r="L45" i="4" l="1"/>
  <c r="P231" i="4"/>
  <c r="E227" i="4" s="1"/>
  <c r="F227" i="4" l="1"/>
  <c r="E228" i="4"/>
  <c r="F228" i="4" s="1"/>
  <c r="C41" i="5" l="1"/>
  <c r="G228" i="4"/>
  <c r="C234" i="4"/>
  <c r="E229" i="4"/>
  <c r="F229" i="4" s="1"/>
  <c r="G227" i="4"/>
  <c r="C233" i="4"/>
  <c r="C235" i="4" l="1"/>
  <c r="G229" i="4"/>
  <c r="E230" i="4"/>
  <c r="F230" i="4" s="1"/>
  <c r="D233" i="4"/>
  <c r="D234" i="4"/>
  <c r="P234" i="4" l="1"/>
  <c r="P233" i="4"/>
  <c r="G230" i="4"/>
  <c r="C236" i="4"/>
  <c r="D235" i="4"/>
  <c r="P235" i="4" s="1"/>
  <c r="E231" i="4"/>
  <c r="D236" i="4" l="1"/>
  <c r="P236" i="4" s="1"/>
  <c r="F231" i="4"/>
  <c r="E232" i="4"/>
  <c r="F232" i="4" s="1"/>
  <c r="K45" i="4" s="1"/>
  <c r="M45" i="4" l="1"/>
  <c r="G231" i="4"/>
  <c r="C237" i="4"/>
  <c r="C238" i="4"/>
  <c r="G232" i="4"/>
  <c r="D238" i="4" l="1"/>
  <c r="P238" i="4" s="1"/>
  <c r="D237" i="4"/>
  <c r="L46" i="4" l="1"/>
  <c r="P237" i="4"/>
  <c r="E233" i="4"/>
  <c r="F233" i="4" s="1"/>
  <c r="C42" i="5" l="1"/>
  <c r="E234" i="4"/>
  <c r="F234" i="4" s="1"/>
  <c r="G233" i="4"/>
  <c r="C239" i="4"/>
  <c r="E235" i="4" l="1"/>
  <c r="F235" i="4" s="1"/>
  <c r="C241" i="4" s="1"/>
  <c r="C240" i="4"/>
  <c r="G234" i="4"/>
  <c r="D239" i="4"/>
  <c r="P239" i="4" l="1"/>
  <c r="G235" i="4"/>
  <c r="E236" i="4"/>
  <c r="F236" i="4" s="1"/>
  <c r="C242" i="4" s="1"/>
  <c r="D241" i="4"/>
  <c r="P241" i="4" s="1"/>
  <c r="D240" i="4"/>
  <c r="P240" i="4" l="1"/>
  <c r="E237" i="4"/>
  <c r="F237" i="4" s="1"/>
  <c r="G237" i="4" s="1"/>
  <c r="G236" i="4"/>
  <c r="D242" i="4"/>
  <c r="P242" i="4" s="1"/>
  <c r="C243" i="4" l="1"/>
  <c r="E238" i="4"/>
  <c r="F238" i="4" s="1"/>
  <c r="K46" i="4" s="1"/>
  <c r="C244" i="4" l="1"/>
  <c r="D244" i="4" s="1"/>
  <c r="M46" i="4"/>
  <c r="D243" i="4"/>
  <c r="P243" i="4" s="1"/>
  <c r="G238" i="4"/>
  <c r="L47" i="4" l="1"/>
  <c r="P244" i="4"/>
  <c r="E239" i="4" s="1"/>
  <c r="F239" i="4" s="1"/>
  <c r="C43" i="5" l="1"/>
  <c r="E240" i="4"/>
  <c r="F240" i="4" s="1"/>
  <c r="G239" i="4"/>
  <c r="C245" i="4"/>
  <c r="G240" i="4" l="1"/>
  <c r="C246" i="4"/>
  <c r="E241" i="4"/>
  <c r="F241" i="4" s="1"/>
  <c r="C247" i="4" s="1"/>
  <c r="D245" i="4"/>
  <c r="P245" i="4" l="1"/>
  <c r="D246" i="4"/>
  <c r="P246" i="4" s="1"/>
  <c r="G241" i="4"/>
  <c r="E242" i="4"/>
  <c r="F242" i="4" s="1"/>
  <c r="D247" i="4"/>
  <c r="P247" i="4" s="1"/>
  <c r="E243" i="4" l="1"/>
  <c r="F243" i="4" s="1"/>
  <c r="C249" i="4" s="1"/>
  <c r="C248" i="4"/>
  <c r="G242" i="4"/>
  <c r="E244" i="4" l="1"/>
  <c r="F244" i="4" s="1"/>
  <c r="K47" i="4" s="1"/>
  <c r="G243" i="4"/>
  <c r="D249" i="4"/>
  <c r="P249" i="4" s="1"/>
  <c r="D248" i="4"/>
  <c r="M47" i="4" l="1"/>
  <c r="P248" i="4"/>
  <c r="C250" i="4"/>
  <c r="G244" i="4"/>
  <c r="D250" i="4" l="1"/>
  <c r="P250" i="4" l="1"/>
  <c r="E245" i="4" s="1"/>
  <c r="E246" i="4" s="1"/>
  <c r="F246" i="4" s="1"/>
  <c r="L48" i="4"/>
  <c r="F245" i="4" l="1"/>
  <c r="G245" i="4" s="1"/>
  <c r="C44" i="5"/>
  <c r="E247" i="4"/>
  <c r="F247" i="4" s="1"/>
  <c r="G246" i="4"/>
  <c r="C252" i="4"/>
  <c r="C251" i="4" l="1"/>
  <c r="D251" i="4" s="1"/>
  <c r="C253" i="4"/>
  <c r="G247" i="4"/>
  <c r="E248" i="4"/>
  <c r="F248" i="4" s="1"/>
  <c r="D252" i="4"/>
  <c r="P251" i="4" l="1"/>
  <c r="P252" i="4"/>
  <c r="G248" i="4"/>
  <c r="C254" i="4"/>
  <c r="D253" i="4"/>
  <c r="P253" i="4" s="1"/>
  <c r="E249" i="4"/>
  <c r="F249" i="4" s="1"/>
  <c r="E250" i="4" l="1"/>
  <c r="F250" i="4" s="1"/>
  <c r="M48" i="4" s="1"/>
  <c r="D254" i="4"/>
  <c r="P254" i="4" s="1"/>
  <c r="C255" i="4"/>
  <c r="G249" i="4"/>
  <c r="K48" i="4" l="1"/>
  <c r="C256" i="4"/>
  <c r="G250" i="4"/>
  <c r="D255" i="4"/>
  <c r="P255" i="4" s="1"/>
  <c r="D256" i="4" l="1"/>
  <c r="L49" i="4" s="1"/>
  <c r="P256" i="4" l="1"/>
  <c r="E251" i="4"/>
  <c r="E252" i="4" s="1"/>
  <c r="F251" i="4" l="1"/>
  <c r="F252" i="4"/>
  <c r="E253" i="4"/>
  <c r="C257" i="4" l="1"/>
  <c r="D257" i="4" s="1"/>
  <c r="C45" i="5"/>
  <c r="G251" i="4"/>
  <c r="F253" i="4"/>
  <c r="E254" i="4"/>
  <c r="F254" i="4" s="1"/>
  <c r="C258" i="4"/>
  <c r="G252" i="4"/>
  <c r="P257" i="4" l="1"/>
  <c r="G254" i="4"/>
  <c r="C260" i="4"/>
  <c r="E255" i="4"/>
  <c r="F255" i="4" s="1"/>
  <c r="D258" i="4"/>
  <c r="C259" i="4"/>
  <c r="G253" i="4"/>
  <c r="P258" i="4" l="1"/>
  <c r="C261" i="4"/>
  <c r="G255" i="4"/>
  <c r="D260" i="4"/>
  <c r="P260" i="4" s="1"/>
  <c r="D259" i="4"/>
  <c r="P259" i="4" s="1"/>
  <c r="E256" i="4"/>
  <c r="F256" i="4" s="1"/>
  <c r="M49" i="4" s="1"/>
  <c r="K49" i="4" l="1"/>
  <c r="D261" i="4"/>
  <c r="P261" i="4" s="1"/>
  <c r="G256" i="4"/>
  <c r="C262" i="4"/>
  <c r="D262" i="4" l="1"/>
  <c r="L50" i="4" s="1"/>
  <c r="P262" i="4" l="1"/>
  <c r="E257" i="4"/>
  <c r="E258" i="4" l="1"/>
  <c r="F257" i="4"/>
  <c r="C46" i="5" l="1"/>
  <c r="G257" i="4"/>
  <c r="C263" i="4"/>
  <c r="F258" i="4"/>
  <c r="E259" i="4"/>
  <c r="F259" i="4" s="1"/>
  <c r="C265" i="4" l="1"/>
  <c r="G259" i="4"/>
  <c r="E260" i="4"/>
  <c r="F260" i="4" s="1"/>
  <c r="G258" i="4"/>
  <c r="C264" i="4"/>
  <c r="D263" i="4"/>
  <c r="P263" i="4" l="1"/>
  <c r="D264" i="4"/>
  <c r="G260" i="4"/>
  <c r="C266" i="4"/>
  <c r="E261" i="4"/>
  <c r="F261" i="4" s="1"/>
  <c r="D265" i="4"/>
  <c r="P265" i="4" s="1"/>
  <c r="P264" i="4" l="1"/>
  <c r="D266" i="4"/>
  <c r="P266" i="4" s="1"/>
  <c r="E262" i="4"/>
  <c r="F262" i="4" s="1"/>
  <c r="K50" i="4" s="1"/>
  <c r="G261" i="4"/>
  <c r="C267" i="4"/>
  <c r="M50" i="4" l="1"/>
  <c r="C268" i="4"/>
  <c r="G262" i="4"/>
  <c r="D267" i="4"/>
  <c r="P267" i="4" l="1"/>
  <c r="D268" i="4"/>
  <c r="L51" i="4" s="1"/>
  <c r="P268" i="4" l="1"/>
  <c r="E263" i="4"/>
  <c r="F263" i="4" s="1"/>
  <c r="C47" i="5" l="1"/>
  <c r="C269" i="4"/>
  <c r="G263" i="4"/>
  <c r="E264" i="4"/>
  <c r="F264" i="4" l="1"/>
  <c r="E265" i="4"/>
  <c r="F265" i="4" s="1"/>
  <c r="D269" i="4"/>
  <c r="P269" i="4" l="1"/>
  <c r="E266" i="4"/>
  <c r="F266" i="4" s="1"/>
  <c r="G265" i="4"/>
  <c r="C271" i="4"/>
  <c r="C270" i="4"/>
  <c r="G264" i="4"/>
  <c r="D270" i="4" l="1"/>
  <c r="D271" i="4"/>
  <c r="P271" i="4" s="1"/>
  <c r="G266" i="4"/>
  <c r="C272" i="4"/>
  <c r="E267" i="4"/>
  <c r="F267" i="4" s="1"/>
  <c r="P270" i="4" l="1"/>
  <c r="C273" i="4"/>
  <c r="G267" i="4"/>
  <c r="E268" i="4"/>
  <c r="F268" i="4" s="1"/>
  <c r="K51" i="4" s="1"/>
  <c r="D272" i="4"/>
  <c r="P272" i="4" s="1"/>
  <c r="M51" i="4" l="1"/>
  <c r="C274" i="4"/>
  <c r="G268" i="4"/>
  <c r="D273" i="4"/>
  <c r="P273" i="4" s="1"/>
  <c r="D274" i="4" l="1"/>
  <c r="L52" i="4" s="1"/>
  <c r="P274" i="4" l="1"/>
  <c r="E269" i="4"/>
  <c r="F269" i="4" s="1"/>
  <c r="C48" i="5" l="1"/>
  <c r="E270" i="4"/>
  <c r="F270" i="4" s="1"/>
  <c r="C275" i="4"/>
  <c r="G269" i="4"/>
  <c r="G270" i="4" l="1"/>
  <c r="E271" i="4"/>
  <c r="F271" i="4" s="1"/>
  <c r="C277" i="4" s="1"/>
  <c r="C276" i="4"/>
  <c r="D275" i="4"/>
  <c r="P275" i="4" l="1"/>
  <c r="D276" i="4"/>
  <c r="P276" i="4" s="1"/>
  <c r="E272" i="4"/>
  <c r="F272" i="4" s="1"/>
  <c r="G271" i="4"/>
  <c r="D277" i="4"/>
  <c r="P277" i="4" s="1"/>
  <c r="E273" i="4" l="1"/>
  <c r="F273" i="4" s="1"/>
  <c r="C279" i="4" s="1"/>
  <c r="G272" i="4"/>
  <c r="C278" i="4"/>
  <c r="G273" i="4" l="1"/>
  <c r="E274" i="4"/>
  <c r="F274" i="4" s="1"/>
  <c r="K52" i="4" s="1"/>
  <c r="D278" i="4"/>
  <c r="D279" i="4"/>
  <c r="P279" i="4" s="1"/>
  <c r="M52" i="4" l="1"/>
  <c r="P278" i="4"/>
  <c r="G274" i="4"/>
  <c r="C280" i="4"/>
  <c r="D280" i="4" l="1"/>
  <c r="P280" i="4" l="1"/>
  <c r="E275" i="4" s="1"/>
  <c r="F275" i="4" s="1"/>
  <c r="L53" i="4"/>
  <c r="E276" i="4" l="1"/>
  <c r="F276" i="4" s="1"/>
  <c r="C49" i="5"/>
  <c r="G275" i="4"/>
  <c r="C281" i="4"/>
  <c r="E277" i="4" l="1"/>
  <c r="F277" i="4" s="1"/>
  <c r="C282" i="4"/>
  <c r="D282" i="4" s="1"/>
  <c r="G276" i="4"/>
  <c r="D281" i="4"/>
  <c r="G277" i="4" l="1"/>
  <c r="C283" i="4"/>
  <c r="D283" i="4" s="1"/>
  <c r="P283" i="4" s="1"/>
  <c r="E278" i="4"/>
  <c r="F278" i="4" s="1"/>
  <c r="P282" i="4"/>
  <c r="P281" i="4"/>
  <c r="E279" i="4" l="1"/>
  <c r="F279" i="4" s="1"/>
  <c r="C285" i="4" s="1"/>
  <c r="G278" i="4"/>
  <c r="C284" i="4"/>
  <c r="E280" i="4" l="1"/>
  <c r="F280" i="4" s="1"/>
  <c r="G279" i="4"/>
  <c r="D285" i="4"/>
  <c r="P285" i="4" s="1"/>
  <c r="D284" i="4"/>
  <c r="G280" i="4" l="1"/>
  <c r="K53" i="4"/>
  <c r="C286" i="4"/>
  <c r="D286" i="4" s="1"/>
  <c r="L54" i="4" s="1"/>
  <c r="M53" i="4"/>
  <c r="P284" i="4"/>
  <c r="P286" i="4" l="1"/>
  <c r="E281" i="4"/>
  <c r="E282" i="4" s="1"/>
  <c r="F282" i="4" s="1"/>
  <c r="F281" i="4" l="1"/>
  <c r="E283" i="4"/>
  <c r="F283" i="4" s="1"/>
  <c r="G282" i="4"/>
  <c r="C288" i="4"/>
  <c r="C287" i="4" l="1"/>
  <c r="D287" i="4" s="1"/>
  <c r="C50" i="5"/>
  <c r="G281" i="4"/>
  <c r="E284" i="4"/>
  <c r="F284" i="4" s="1"/>
  <c r="D288" i="4"/>
  <c r="C289" i="4"/>
  <c r="G283" i="4"/>
  <c r="P287" i="4" l="1"/>
  <c r="P288" i="4"/>
  <c r="D289" i="4"/>
  <c r="P289" i="4" s="1"/>
  <c r="E285" i="4"/>
  <c r="G284" i="4"/>
  <c r="C290" i="4"/>
  <c r="D290" i="4" l="1"/>
  <c r="P290" i="4" s="1"/>
  <c r="F285" i="4"/>
  <c r="E286" i="4"/>
  <c r="F286" i="4" s="1"/>
  <c r="M54" i="4" s="1"/>
  <c r="K54" i="4" l="1"/>
  <c r="C292" i="4"/>
  <c r="G286" i="4"/>
  <c r="C291" i="4"/>
  <c r="G285" i="4"/>
  <c r="D291" i="4" l="1"/>
  <c r="D292" i="4"/>
  <c r="P292" i="4" s="1"/>
  <c r="L55" i="4" l="1"/>
  <c r="P291" i="4"/>
  <c r="E287" i="4"/>
  <c r="E288" i="4" l="1"/>
  <c r="F288" i="4" s="1"/>
  <c r="F287" i="4"/>
  <c r="C51" i="5" l="1"/>
  <c r="E289" i="4"/>
  <c r="F289" i="4" s="1"/>
  <c r="C293" i="4"/>
  <c r="G287" i="4"/>
  <c r="C294" i="4"/>
  <c r="G288" i="4"/>
  <c r="D294" i="4" l="1"/>
  <c r="D293" i="4"/>
  <c r="C295" i="4"/>
  <c r="G289" i="4"/>
  <c r="E290" i="4"/>
  <c r="P293" i="4" l="1"/>
  <c r="P294" i="4"/>
  <c r="F290" i="4"/>
  <c r="E291" i="4"/>
  <c r="D295" i="4"/>
  <c r="P295" i="4" s="1"/>
  <c r="F291" i="4" l="1"/>
  <c r="E292" i="4"/>
  <c r="F292" i="4" s="1"/>
  <c r="M55" i="4" s="1"/>
  <c r="G290" i="4"/>
  <c r="C296" i="4"/>
  <c r="K55" i="4" l="1"/>
  <c r="D296" i="4"/>
  <c r="G292" i="4"/>
  <c r="C298" i="4"/>
  <c r="G291" i="4"/>
  <c r="C297" i="4"/>
  <c r="P296" i="4" l="1"/>
  <c r="D298" i="4"/>
  <c r="P298" i="4" s="1"/>
  <c r="D297" i="4"/>
  <c r="P297" i="4" s="1"/>
  <c r="L56" i="4" l="1"/>
  <c r="E293" i="4"/>
  <c r="F293" i="4" s="1"/>
  <c r="C52" i="5" l="1"/>
  <c r="E294" i="4"/>
  <c r="F294" i="4" s="1"/>
  <c r="C299" i="4"/>
  <c r="G293" i="4"/>
  <c r="G294" i="4" l="1"/>
  <c r="E295" i="4"/>
  <c r="F295" i="4" s="1"/>
  <c r="C301" i="4" s="1"/>
  <c r="C300" i="4"/>
  <c r="D299" i="4"/>
  <c r="P299" i="4" l="1"/>
  <c r="D300" i="4"/>
  <c r="P300" i="4" s="1"/>
  <c r="G295" i="4"/>
  <c r="E296" i="4"/>
  <c r="F296" i="4" s="1"/>
  <c r="G296" i="4" s="1"/>
  <c r="D301" i="4"/>
  <c r="P301" i="4" s="1"/>
  <c r="C302" i="4" l="1"/>
  <c r="E297" i="4"/>
  <c r="F297" i="4" s="1"/>
  <c r="C303" i="4" s="1"/>
  <c r="D302" i="4" l="1"/>
  <c r="E298" i="4"/>
  <c r="F298" i="4" s="1"/>
  <c r="K56" i="4" s="1"/>
  <c r="G297" i="4"/>
  <c r="D303" i="4"/>
  <c r="P303" i="4" s="1"/>
  <c r="C304" i="4" l="1"/>
  <c r="D304" i="4" s="1"/>
  <c r="L57" i="4" s="1"/>
  <c r="M56" i="4"/>
  <c r="P302" i="4"/>
  <c r="G298" i="4"/>
  <c r="P304" i="4" l="1"/>
  <c r="E299" i="4"/>
  <c r="E300" i="4" s="1"/>
  <c r="F300" i="4" s="1"/>
  <c r="F299" i="4" l="1"/>
  <c r="E301" i="4"/>
  <c r="F301" i="4" s="1"/>
  <c r="G300" i="4"/>
  <c r="C306" i="4"/>
  <c r="C305" i="4" l="1"/>
  <c r="D305" i="4" s="1"/>
  <c r="C53" i="5"/>
  <c r="G299" i="4"/>
  <c r="D306" i="4"/>
  <c r="E302" i="4"/>
  <c r="C307" i="4"/>
  <c r="G301" i="4"/>
  <c r="P306" i="4" l="1"/>
  <c r="P305" i="4"/>
  <c r="D307" i="4"/>
  <c r="P307" i="4" s="1"/>
  <c r="F302" i="4"/>
  <c r="E303" i="4"/>
  <c r="F303" i="4" l="1"/>
  <c r="E304" i="4"/>
  <c r="F304" i="4" s="1"/>
  <c r="M57" i="4" s="1"/>
  <c r="G302" i="4"/>
  <c r="C308" i="4"/>
  <c r="K57" i="4" l="1"/>
  <c r="D308" i="4"/>
  <c r="G304" i="4"/>
  <c r="C310" i="4"/>
  <c r="G303" i="4"/>
  <c r="C309" i="4"/>
  <c r="P308" i="4" l="1"/>
  <c r="D310" i="4"/>
  <c r="P310" i="4" s="1"/>
  <c r="D309" i="4"/>
  <c r="P309" i="4" s="1"/>
  <c r="L58" i="4" l="1"/>
  <c r="E305" i="4"/>
  <c r="E306" i="4" s="1"/>
  <c r="F306" i="4" s="1"/>
  <c r="F305" i="4" l="1"/>
  <c r="E307" i="4"/>
  <c r="F307" i="4" s="1"/>
  <c r="G306" i="4"/>
  <c r="C312" i="4"/>
  <c r="C311" i="4" l="1"/>
  <c r="D311" i="4" s="1"/>
  <c r="C54" i="5"/>
  <c r="G305" i="4"/>
  <c r="D312" i="4"/>
  <c r="C313" i="4"/>
  <c r="G307" i="4"/>
  <c r="E308" i="4"/>
  <c r="F308" i="4" s="1"/>
  <c r="P311" i="4" l="1"/>
  <c r="P312" i="4"/>
  <c r="G308" i="4"/>
  <c r="C314" i="4"/>
  <c r="D313" i="4"/>
  <c r="P313" i="4" s="1"/>
  <c r="E309" i="4"/>
  <c r="F309" i="4" l="1"/>
  <c r="E310" i="4"/>
  <c r="F310" i="4" s="1"/>
  <c r="M58" i="4" s="1"/>
  <c r="D314" i="4"/>
  <c r="P314" i="4" s="1"/>
  <c r="K58" i="4" l="1"/>
  <c r="C315" i="4"/>
  <c r="G309" i="4"/>
  <c r="C316" i="4"/>
  <c r="G310" i="4"/>
  <c r="D316" i="4" l="1"/>
  <c r="P316" i="4" s="1"/>
  <c r="D315" i="4"/>
  <c r="L59" i="4" l="1"/>
  <c r="P315" i="4"/>
  <c r="E311" i="4"/>
  <c r="E312" i="4" s="1"/>
  <c r="F312" i="4" s="1"/>
  <c r="F311" i="4" l="1"/>
  <c r="E313" i="4"/>
  <c r="F313" i="4" s="1"/>
  <c r="G312" i="4"/>
  <c r="C318" i="4"/>
  <c r="C317" i="4" l="1"/>
  <c r="C55" i="5"/>
  <c r="G311" i="4"/>
  <c r="D318" i="4"/>
  <c r="D317" i="4"/>
  <c r="C319" i="4"/>
  <c r="G313" i="4"/>
  <c r="E314" i="4"/>
  <c r="F314" i="4" s="1"/>
  <c r="P318" i="4" l="1"/>
  <c r="P317" i="4"/>
  <c r="G314" i="4"/>
  <c r="C320" i="4"/>
  <c r="D319" i="4"/>
  <c r="P319" i="4" s="1"/>
  <c r="E315" i="4"/>
  <c r="F315" i="4" l="1"/>
  <c r="E316" i="4"/>
  <c r="F316" i="4" s="1"/>
  <c r="M59" i="4" s="1"/>
  <c r="D320" i="4"/>
  <c r="P320" i="4" s="1"/>
  <c r="K59" i="4" l="1"/>
  <c r="C322" i="4"/>
  <c r="G316" i="4"/>
  <c r="C321" i="4"/>
  <c r="G315" i="4"/>
  <c r="D321" i="4" l="1"/>
  <c r="D322" i="4"/>
  <c r="P322" i="4" s="1"/>
  <c r="L60" i="4" l="1"/>
  <c r="P321" i="4"/>
  <c r="E317" i="4" s="1"/>
  <c r="F317" i="4" s="1"/>
  <c r="C56" i="5" l="1"/>
  <c r="E318" i="4"/>
  <c r="F318" i="4" s="1"/>
  <c r="C323" i="4"/>
  <c r="G317" i="4"/>
  <c r="G318" i="4" l="1"/>
  <c r="C324" i="4"/>
  <c r="E319" i="4"/>
  <c r="F319" i="4" s="1"/>
  <c r="G319" i="4" s="1"/>
  <c r="D323" i="4"/>
  <c r="P323" i="4" l="1"/>
  <c r="D324" i="4"/>
  <c r="E320" i="4"/>
  <c r="F320" i="4" s="1"/>
  <c r="G320" i="4" s="1"/>
  <c r="C325" i="4"/>
  <c r="P324" i="4" l="1"/>
  <c r="D325" i="4"/>
  <c r="P325" i="4" s="1"/>
  <c r="E321" i="4"/>
  <c r="F321" i="4" s="1"/>
  <c r="C326" i="4"/>
  <c r="D326" i="4" l="1"/>
  <c r="E322" i="4"/>
  <c r="F322" i="4" s="1"/>
  <c r="K60" i="4" s="1"/>
  <c r="C327" i="4"/>
  <c r="G321" i="4"/>
  <c r="C328" i="4" l="1"/>
  <c r="D328" i="4" s="1"/>
  <c r="M60" i="4"/>
  <c r="P326" i="4"/>
  <c r="G322" i="4"/>
  <c r="D327" i="4"/>
  <c r="P327" i="4" s="1"/>
  <c r="P328" i="4" l="1"/>
  <c r="L61" i="4"/>
  <c r="E323" i="4"/>
  <c r="E324" i="4" s="1"/>
  <c r="F324" i="4" l="1"/>
  <c r="F323" i="4"/>
  <c r="E325" i="4"/>
  <c r="F325" i="4" s="1"/>
  <c r="C57" i="5" l="1"/>
  <c r="E326" i="4"/>
  <c r="F326" i="4" s="1"/>
  <c r="C331" i="4"/>
  <c r="G325" i="4"/>
  <c r="C329" i="4"/>
  <c r="G323" i="4"/>
  <c r="C330" i="4"/>
  <c r="G324" i="4"/>
  <c r="E327" i="4" l="1"/>
  <c r="F327" i="4" s="1"/>
  <c r="D329" i="4"/>
  <c r="D330" i="4"/>
  <c r="D331" i="4"/>
  <c r="P331" i="4" s="1"/>
  <c r="G326" i="4"/>
  <c r="C332" i="4"/>
  <c r="P330" i="4" l="1"/>
  <c r="P329" i="4"/>
  <c r="E328" i="4"/>
  <c r="F328" i="4" s="1"/>
  <c r="M61" i="4" s="1"/>
  <c r="G327" i="4"/>
  <c r="C333" i="4"/>
  <c r="D332" i="4"/>
  <c r="P332" i="4" s="1"/>
  <c r="K61" i="4" l="1"/>
  <c r="D333" i="4"/>
  <c r="C334" i="4"/>
  <c r="G328" i="4"/>
  <c r="P333" i="4" l="1"/>
  <c r="D334" i="4"/>
  <c r="P334" i="4" s="1"/>
  <c r="L62" i="4" l="1"/>
  <c r="E329" i="4"/>
  <c r="E330" i="4" s="1"/>
  <c r="F330" i="4" s="1"/>
  <c r="F329" i="4" l="1"/>
  <c r="E331" i="4"/>
  <c r="F331" i="4" s="1"/>
  <c r="C336" i="4"/>
  <c r="G330" i="4"/>
  <c r="C335" i="4" l="1"/>
  <c r="D335" i="4" s="1"/>
  <c r="C58" i="5"/>
  <c r="G329" i="4"/>
  <c r="E332" i="4"/>
  <c r="F332" i="4" s="1"/>
  <c r="D336" i="4"/>
  <c r="C337" i="4"/>
  <c r="G331" i="4"/>
  <c r="P336" i="4" l="1"/>
  <c r="P335" i="4"/>
  <c r="D337" i="4"/>
  <c r="P337" i="4" s="1"/>
  <c r="E333" i="4"/>
  <c r="G332" i="4"/>
  <c r="C338" i="4"/>
  <c r="D338" i="4" l="1"/>
  <c r="P338" i="4" s="1"/>
  <c r="F333" i="4"/>
  <c r="E334" i="4"/>
  <c r="F334" i="4" s="1"/>
  <c r="M62" i="4" s="1"/>
  <c r="K62" i="4" l="1"/>
  <c r="G334" i="4"/>
  <c r="C340" i="4"/>
  <c r="C339" i="4"/>
  <c r="G333" i="4"/>
  <c r="D339" i="4" l="1"/>
  <c r="D340" i="4"/>
  <c r="P340" i="4" s="1"/>
  <c r="L63" i="4" l="1"/>
  <c r="P339" i="4"/>
  <c r="E335" i="4"/>
  <c r="E336" i="4" l="1"/>
  <c r="F336" i="4" s="1"/>
  <c r="F335" i="4"/>
  <c r="C59" i="5" l="1"/>
  <c r="E337" i="4"/>
  <c r="F337" i="4" s="1"/>
  <c r="C341" i="4"/>
  <c r="G335" i="4"/>
  <c r="G336" i="4"/>
  <c r="C342" i="4"/>
  <c r="D342" i="4" l="1"/>
  <c r="D341" i="4"/>
  <c r="G337" i="4"/>
  <c r="C343" i="4"/>
  <c r="E338" i="4"/>
  <c r="P342" i="4" l="1"/>
  <c r="P341" i="4"/>
  <c r="F338" i="4"/>
  <c r="E339" i="4"/>
  <c r="D343" i="4"/>
  <c r="P343" i="4" s="1"/>
  <c r="F339" i="4" l="1"/>
  <c r="E340" i="4"/>
  <c r="F340" i="4" s="1"/>
  <c r="M63" i="4" s="1"/>
  <c r="C344" i="4"/>
  <c r="G338" i="4"/>
  <c r="K63" i="4" l="1"/>
  <c r="G340" i="4"/>
  <c r="C346" i="4"/>
  <c r="D344" i="4"/>
  <c r="G339" i="4"/>
  <c r="C345" i="4"/>
  <c r="P344" i="4" l="1"/>
  <c r="D346" i="4"/>
  <c r="P346" i="4" s="1"/>
  <c r="D345" i="4"/>
  <c r="P345" i="4" s="1"/>
  <c r="L64" i="4" l="1"/>
  <c r="E341" i="4"/>
  <c r="E342" i="4" s="1"/>
  <c r="F342" i="4" s="1"/>
  <c r="F341" i="4" l="1"/>
  <c r="G342" i="4"/>
  <c r="C348" i="4"/>
  <c r="E343" i="4"/>
  <c r="F343" i="4" s="1"/>
  <c r="G341" i="4" l="1"/>
  <c r="C60" i="5"/>
  <c r="C347" i="4"/>
  <c r="C349" i="4"/>
  <c r="G343" i="4"/>
  <c r="E344" i="4"/>
  <c r="F344" i="4" s="1"/>
  <c r="D348" i="4"/>
  <c r="P348" i="4" l="1"/>
  <c r="D347" i="4"/>
  <c r="P347" i="4" s="1"/>
  <c r="E345" i="4"/>
  <c r="F345" i="4" s="1"/>
  <c r="C350" i="4"/>
  <c r="G344" i="4"/>
  <c r="D349" i="4"/>
  <c r="P349" i="4" s="1"/>
  <c r="D350" i="4" l="1"/>
  <c r="E346" i="4"/>
  <c r="F346" i="4" s="1"/>
  <c r="M64" i="4" s="1"/>
  <c r="C351" i="4"/>
  <c r="G345" i="4"/>
  <c r="K64" i="4" l="1"/>
  <c r="P350" i="4"/>
  <c r="G346" i="4"/>
  <c r="C352" i="4"/>
  <c r="D351" i="4"/>
  <c r="P351" i="4" s="1"/>
  <c r="D352" i="4" l="1"/>
  <c r="L65" i="4" s="1"/>
  <c r="P352" i="4" l="1"/>
  <c r="E347" i="4"/>
  <c r="E348" i="4" s="1"/>
  <c r="F348" i="4" s="1"/>
  <c r="F347" i="4" l="1"/>
  <c r="G348" i="4"/>
  <c r="C354" i="4"/>
  <c r="E349" i="4"/>
  <c r="F349" i="4" s="1"/>
  <c r="C353" i="4" l="1"/>
  <c r="D353" i="4" s="1"/>
  <c r="C61" i="5"/>
  <c r="G347" i="4"/>
  <c r="E350" i="4"/>
  <c r="F350" i="4" s="1"/>
  <c r="C356" i="4" s="1"/>
  <c r="D354" i="4"/>
  <c r="C355" i="4"/>
  <c r="G349" i="4"/>
  <c r="P354" i="4" l="1"/>
  <c r="P353" i="4"/>
  <c r="E351" i="4"/>
  <c r="F351" i="4" s="1"/>
  <c r="C357" i="4" s="1"/>
  <c r="G350" i="4"/>
  <c r="D355" i="4"/>
  <c r="P355" i="4" s="1"/>
  <c r="D356" i="4"/>
  <c r="P356" i="4" s="1"/>
  <c r="G351" i="4" l="1"/>
  <c r="E352" i="4"/>
  <c r="F352" i="4" s="1"/>
  <c r="M65" i="4" s="1"/>
  <c r="D357" i="4"/>
  <c r="P357" i="4" s="1"/>
  <c r="K65" i="4" l="1"/>
  <c r="C358" i="4"/>
  <c r="G352" i="4"/>
  <c r="D358" i="4" l="1"/>
  <c r="P358" i="4" l="1"/>
  <c r="E353" i="4" s="1"/>
  <c r="F353" i="4" s="1"/>
  <c r="L66" i="4"/>
  <c r="C62" i="5"/>
  <c r="C359" i="4" l="1"/>
  <c r="D359" i="4" s="1"/>
  <c r="E354" i="4"/>
  <c r="F354" i="4" s="1"/>
  <c r="C360" i="4" s="1"/>
  <c r="D360" i="4" s="1"/>
  <c r="G353" i="4"/>
  <c r="E355" i="4" l="1"/>
  <c r="F355" i="4" s="1"/>
  <c r="G355" i="4" s="1"/>
  <c r="G354" i="4"/>
  <c r="P360" i="4"/>
  <c r="P359" i="4"/>
  <c r="E356" i="4" l="1"/>
  <c r="F356" i="4" s="1"/>
  <c r="C362" i="4" s="1"/>
  <c r="C361" i="4"/>
  <c r="D361" i="4" s="1"/>
  <c r="P361" i="4" s="1"/>
  <c r="E357" i="4" l="1"/>
  <c r="F357" i="4" s="1"/>
  <c r="C363" i="4" s="1"/>
  <c r="G356" i="4"/>
  <c r="D362" i="4"/>
  <c r="E358" i="4" l="1"/>
  <c r="F358" i="4" s="1"/>
  <c r="M66" i="4" s="1"/>
  <c r="G357" i="4"/>
  <c r="P362" i="4"/>
  <c r="D363" i="4"/>
  <c r="P363" i="4" s="1"/>
  <c r="C364" i="4" l="1"/>
  <c r="D364" i="4" s="1"/>
  <c r="L67" i="4" s="1"/>
  <c r="G358" i="4"/>
  <c r="K66" i="4"/>
  <c r="P364" i="4" l="1"/>
  <c r="E359" i="4" s="1"/>
  <c r="E360" i="4" s="1"/>
  <c r="F360" i="4" s="1"/>
  <c r="F359" i="4" l="1"/>
  <c r="C366" i="4"/>
  <c r="G360" i="4"/>
  <c r="E361" i="4"/>
  <c r="F361" i="4" s="1"/>
  <c r="G361" i="4" s="1"/>
  <c r="G359" i="4" l="1"/>
  <c r="C63" i="5"/>
  <c r="C365" i="4"/>
  <c r="C367" i="4"/>
  <c r="D366" i="4"/>
  <c r="E362" i="4"/>
  <c r="F362" i="4" s="1"/>
  <c r="P366" i="4" l="1"/>
  <c r="D367" i="4"/>
  <c r="P367" i="4" s="1"/>
  <c r="D365" i="4"/>
  <c r="G362" i="4"/>
  <c r="C368" i="4"/>
  <c r="E363" i="4"/>
  <c r="F363" i="4" s="1"/>
  <c r="P365" i="4" l="1"/>
  <c r="C369" i="4"/>
  <c r="G363" i="4"/>
  <c r="D368" i="4"/>
  <c r="P368" i="4" s="1"/>
  <c r="E364" i="4"/>
  <c r="F364" i="4" s="1"/>
  <c r="M67" i="4" s="1"/>
  <c r="K67" i="4" l="1"/>
  <c r="C370" i="4"/>
  <c r="G364" i="4"/>
  <c r="D369" i="4"/>
  <c r="P369" i="4" s="1"/>
  <c r="D370" i="4" l="1"/>
  <c r="L68" i="4" s="1"/>
  <c r="P370" i="4" l="1"/>
  <c r="E365" i="4"/>
  <c r="E366" i="4" s="1"/>
  <c r="F366" i="4" s="1"/>
  <c r="F365" i="4" l="1"/>
  <c r="G366" i="4"/>
  <c r="C372" i="4"/>
  <c r="E367" i="4"/>
  <c r="C371" i="4" l="1"/>
  <c r="D371" i="4" s="1"/>
  <c r="C64" i="5"/>
  <c r="D372" i="4"/>
  <c r="P372" i="4" s="1"/>
  <c r="G365" i="4"/>
  <c r="E368" i="4"/>
  <c r="F368" i="4" s="1"/>
  <c r="F367" i="4"/>
  <c r="P371" i="4" l="1"/>
  <c r="E369" i="4"/>
  <c r="F369" i="4" s="1"/>
  <c r="C373" i="4"/>
  <c r="G367" i="4"/>
  <c r="G368" i="4"/>
  <c r="C374" i="4"/>
  <c r="D374" i="4" l="1"/>
  <c r="P374" i="4" s="1"/>
  <c r="D373" i="4"/>
  <c r="C375" i="4"/>
  <c r="G369" i="4"/>
  <c r="E370" i="4"/>
  <c r="F370" i="4" s="1"/>
  <c r="K68" i="4" s="1"/>
  <c r="P373" i="4" l="1"/>
  <c r="D375" i="4"/>
  <c r="P375" i="4" s="1"/>
  <c r="C376" i="4"/>
  <c r="G370" i="4"/>
  <c r="M68" i="4"/>
  <c r="C69" i="5"/>
  <c r="D376" i="4" l="1"/>
  <c r="L69" i="4" s="1"/>
  <c r="P376" i="4" l="1"/>
  <c r="E371" i="4"/>
  <c r="E372" i="4" l="1"/>
  <c r="F372" i="4" s="1"/>
  <c r="F371" i="4"/>
  <c r="C65" i="5" l="1"/>
  <c r="E373" i="4"/>
  <c r="F373" i="4" s="1"/>
  <c r="G371" i="4"/>
  <c r="C377" i="4"/>
  <c r="G372" i="4"/>
  <c r="C378" i="4"/>
  <c r="D378" i="4" l="1"/>
  <c r="D377" i="4"/>
  <c r="G373" i="4"/>
  <c r="C379" i="4"/>
  <c r="E374" i="4"/>
  <c r="F374" i="4" s="1"/>
  <c r="P377" i="4" l="1"/>
  <c r="P378" i="4"/>
  <c r="D379" i="4"/>
  <c r="P379" i="4" s="1"/>
  <c r="C380" i="4"/>
  <c r="G374" i="4"/>
  <c r="E375" i="4"/>
  <c r="F375" i="4" s="1"/>
  <c r="G375" i="4" l="1"/>
  <c r="C381" i="4"/>
  <c r="E376" i="4"/>
  <c r="F376" i="4" s="1"/>
  <c r="K69" i="4" s="1"/>
  <c r="D380" i="4"/>
  <c r="P380" i="4" s="1"/>
  <c r="D381" i="4" l="1"/>
  <c r="P381" i="4" s="1"/>
  <c r="C70" i="5"/>
  <c r="C382" i="4"/>
  <c r="G376" i="4"/>
  <c r="M69" i="4"/>
  <c r="D382" i="4" l="1"/>
  <c r="L70" i="4" s="1"/>
  <c r="P382" i="4" l="1"/>
  <c r="E377" i="4"/>
  <c r="E378" i="4" s="1"/>
  <c r="F378" i="4" s="1"/>
  <c r="C384" i="4" l="1"/>
  <c r="D384" i="4" s="1"/>
  <c r="F377" i="4"/>
  <c r="E379" i="4"/>
  <c r="F379" i="4" s="1"/>
  <c r="C385" i="4" s="1"/>
  <c r="G378" i="4"/>
  <c r="C383" i="4" l="1"/>
  <c r="D383" i="4" s="1"/>
  <c r="C66" i="5"/>
  <c r="P384" i="4"/>
  <c r="D385" i="4"/>
  <c r="P385" i="4" s="1"/>
  <c r="G377" i="4"/>
  <c r="E380" i="4"/>
  <c r="G379" i="4"/>
  <c r="P383" i="4" l="1"/>
  <c r="F380" i="4"/>
  <c r="E381" i="4"/>
  <c r="C386" i="4" l="1"/>
  <c r="D386" i="4" s="1"/>
  <c r="F381" i="4"/>
  <c r="C387" i="4" s="1"/>
  <c r="E382" i="4"/>
  <c r="F382" i="4" s="1"/>
  <c r="C388" i="4" s="1"/>
  <c r="G380" i="4"/>
  <c r="K70" i="4" l="1"/>
  <c r="P386" i="4"/>
  <c r="D388" i="4"/>
  <c r="P388" i="4" s="1"/>
  <c r="D387" i="4"/>
  <c r="P387" i="4" s="1"/>
  <c r="M70" i="4"/>
  <c r="G382" i="4"/>
  <c r="C71" i="5"/>
  <c r="G381" i="4"/>
  <c r="E383" i="4" l="1"/>
  <c r="L71" i="4"/>
  <c r="E384" i="4" l="1"/>
  <c r="F384" i="4" s="1"/>
  <c r="F383" i="4"/>
  <c r="C389" i="4" l="1"/>
  <c r="D389" i="4" s="1"/>
  <c r="C67" i="5"/>
  <c r="E385" i="4"/>
  <c r="G384" i="4"/>
  <c r="C390" i="4"/>
  <c r="G383" i="4"/>
  <c r="P389" i="4" l="1"/>
  <c r="D390" i="4"/>
  <c r="P390" i="4" s="1"/>
  <c r="F385" i="4"/>
  <c r="E386" i="4"/>
  <c r="F386" i="4" s="1"/>
  <c r="E387" i="4" l="1"/>
  <c r="F387" i="4" s="1"/>
  <c r="G387" i="4" s="1"/>
  <c r="G386" i="4"/>
  <c r="C392" i="4"/>
  <c r="G385" i="4"/>
  <c r="C391" i="4"/>
  <c r="E388" i="4" l="1"/>
  <c r="F388" i="4" s="1"/>
  <c r="C394" i="4" s="1"/>
  <c r="C393" i="4"/>
  <c r="D393" i="4" s="1"/>
  <c r="D391" i="4"/>
  <c r="P391" i="4" s="1"/>
  <c r="D392" i="4"/>
  <c r="P392" i="4" s="1"/>
  <c r="K71" i="4" l="1"/>
  <c r="C72" i="5" s="1"/>
  <c r="P393" i="4"/>
  <c r="G388" i="4"/>
  <c r="D394" i="4"/>
  <c r="M71" i="4"/>
  <c r="P394" i="4" l="1"/>
  <c r="B6" i="4"/>
  <c r="L72" i="4"/>
  <c r="K7" i="5" l="1"/>
  <c r="D5" i="5"/>
  <c r="J3" i="5"/>
  <c r="P6" i="4"/>
  <c r="E389" i="4"/>
  <c r="E390" i="4" s="1"/>
  <c r="F390" i="4" l="1"/>
  <c r="G390" i="4" s="1"/>
  <c r="E391" i="4"/>
  <c r="F391" i="4" s="1"/>
  <c r="G391" i="4" s="1"/>
  <c r="F389" i="4"/>
  <c r="C68" i="5" l="1"/>
  <c r="E392" i="4"/>
  <c r="F392" i="4" s="1"/>
  <c r="G392" i="4" s="1"/>
  <c r="G389" i="4"/>
  <c r="E393" i="4" l="1"/>
  <c r="F393" i="4" s="1"/>
  <c r="E394" i="4" l="1"/>
  <c r="G393" i="4"/>
  <c r="B7" i="4" l="1"/>
  <c r="P7" i="4" s="1"/>
  <c r="F394" i="4"/>
  <c r="K72" i="4" s="1"/>
  <c r="C73" i="5" s="1"/>
  <c r="B5" i="4" a="1"/>
  <c r="B5" i="4" s="1"/>
  <c r="A8" i="5" s="1"/>
  <c r="G3" i="5" l="1"/>
  <c r="A5" i="5"/>
  <c r="G394" i="4"/>
  <c r="M72" i="4"/>
  <c r="P5" i="4"/>
  <c r="E17" i="8"/>
  <c r="F17" i="8" s="1"/>
  <c r="G17" i="8" s="1"/>
  <c r="C23" i="8" l="1"/>
  <c r="E18" i="8"/>
  <c r="F18" i="8" l="1"/>
  <c r="E19" i="8"/>
  <c r="F19" i="8" s="1"/>
  <c r="D23" i="8"/>
  <c r="P23" i="8" s="1"/>
  <c r="G19" i="8" l="1"/>
  <c r="C25" i="8"/>
  <c r="E20" i="8"/>
  <c r="F20" i="8" s="1"/>
  <c r="C24" i="8"/>
  <c r="G18" i="8"/>
  <c r="C26" i="8" l="1"/>
  <c r="G20" i="8"/>
  <c r="D25" i="8"/>
  <c r="E21" i="8"/>
  <c r="F21" i="8" s="1"/>
  <c r="D24" i="8"/>
  <c r="P24" i="8" s="1"/>
  <c r="C27" i="8" l="1"/>
  <c r="G21" i="8"/>
  <c r="P25" i="8"/>
  <c r="D26" i="8"/>
  <c r="E22" i="8"/>
  <c r="F22" i="8" s="1"/>
  <c r="K10" i="8" s="1"/>
  <c r="D27" i="8" l="1"/>
  <c r="C28" i="8"/>
  <c r="M10" i="8"/>
  <c r="G22" i="8"/>
  <c r="P26" i="8"/>
  <c r="D28" i="8" l="1"/>
  <c r="L11" i="8" s="1"/>
  <c r="P27" i="8"/>
  <c r="P28" i="8" l="1"/>
  <c r="E23" i="8" s="1"/>
  <c r="F23" i="8" s="1"/>
  <c r="E24" i="8" l="1"/>
  <c r="E25" i="8" s="1"/>
  <c r="E26" i="8" s="1"/>
  <c r="G23" i="8"/>
  <c r="C29" i="8"/>
  <c r="F24" i="8" l="1"/>
  <c r="G24" i="8" s="1"/>
  <c r="F25" i="8"/>
  <c r="C31" i="8" s="1"/>
  <c r="E27" i="8"/>
  <c r="F27" i="8" s="1"/>
  <c r="D29" i="8"/>
  <c r="F26" i="8"/>
  <c r="G25" i="8" l="1"/>
  <c r="C30" i="8"/>
  <c r="D30" i="8" s="1"/>
  <c r="D31" i="8"/>
  <c r="C33" i="8"/>
  <c r="G27" i="8"/>
  <c r="G26" i="8"/>
  <c r="C32" i="8"/>
  <c r="P29" i="8"/>
  <c r="E28" i="8"/>
  <c r="F28" i="8" s="1"/>
  <c r="G28" i="8" l="1"/>
  <c r="C34" i="8"/>
  <c r="M11" i="8"/>
  <c r="P31" i="8"/>
  <c r="D33" i="8"/>
  <c r="P33" i="8" s="1"/>
  <c r="P30" i="8"/>
  <c r="K11" i="8"/>
  <c r="D32" i="8"/>
  <c r="P32" i="8" s="1"/>
  <c r="D34" i="8" l="1"/>
  <c r="L12" i="8" s="1"/>
  <c r="P34" i="8" l="1"/>
  <c r="E29" i="8" s="1"/>
  <c r="F29" i="8" l="1"/>
  <c r="E30" i="8"/>
  <c r="F30" i="8" s="1"/>
  <c r="E31" i="8" l="1"/>
  <c r="F31" i="8" s="1"/>
  <c r="C36" i="8"/>
  <c r="G30" i="8"/>
  <c r="G29" i="8"/>
  <c r="C35" i="8"/>
  <c r="D35" i="8" l="1"/>
  <c r="D36" i="8"/>
  <c r="P36" i="8" s="1"/>
  <c r="E32" i="8"/>
  <c r="F32" i="8" s="1"/>
  <c r="G31" i="8"/>
  <c r="C37" i="8"/>
  <c r="D37" i="8" l="1"/>
  <c r="P37" i="8" s="1"/>
  <c r="E33" i="8"/>
  <c r="F33" i="8" s="1"/>
  <c r="P35" i="8"/>
  <c r="C38" i="8"/>
  <c r="G32" i="8"/>
  <c r="C39" i="8" l="1"/>
  <c r="G33" i="8"/>
  <c r="E34" i="8"/>
  <c r="F34" i="8" s="1"/>
  <c r="D38" i="8"/>
  <c r="P38" i="8" s="1"/>
  <c r="G34" i="8" l="1"/>
  <c r="C40" i="8"/>
  <c r="M12" i="8"/>
  <c r="D39" i="8"/>
  <c r="K12" i="8"/>
  <c r="P39" i="8" l="1"/>
  <c r="D40" i="8"/>
  <c r="L13" i="8" s="1"/>
  <c r="P40" i="8" l="1"/>
  <c r="E35" i="8" s="1"/>
  <c r="F35" i="8" s="1"/>
  <c r="G35" i="8" s="1"/>
  <c r="C41" i="8" l="1"/>
  <c r="D41" i="8" s="1"/>
  <c r="P41" i="8" s="1"/>
  <c r="E36" i="8"/>
  <c r="F36" i="8" s="1"/>
  <c r="E37" i="8" l="1"/>
  <c r="F37" i="8" s="1"/>
  <c r="C43" i="8" s="1"/>
  <c r="C42" i="8"/>
  <c r="G36" i="8"/>
  <c r="G37" i="8" l="1"/>
  <c r="E38" i="8"/>
  <c r="F38" i="8" s="1"/>
  <c r="C44" i="8" s="1"/>
  <c r="D43" i="8"/>
  <c r="P43" i="8" s="1"/>
  <c r="D42" i="8"/>
  <c r="P42" i="8" s="1"/>
  <c r="G38" i="8" l="1"/>
  <c r="E39" i="8"/>
  <c r="F39" i="8" s="1"/>
  <c r="G39" i="8" s="1"/>
  <c r="D44" i="8"/>
  <c r="P44" i="8" s="1"/>
  <c r="E40" i="8" l="1"/>
  <c r="F40" i="8" s="1"/>
  <c r="C46" i="8" s="1"/>
  <c r="C45" i="8"/>
  <c r="D45" i="8" s="1"/>
  <c r="K13" i="8" l="1"/>
  <c r="G40" i="8"/>
  <c r="M13" i="8"/>
  <c r="P45" i="8"/>
  <c r="D46" i="8"/>
  <c r="L14" i="8" s="1"/>
  <c r="P46" i="8" l="1"/>
  <c r="E41" i="8" s="1"/>
  <c r="F41" i="8" l="1"/>
  <c r="E42" i="8"/>
  <c r="F42" i="8" s="1"/>
  <c r="E43" i="8" l="1"/>
  <c r="F43" i="8" s="1"/>
  <c r="G42" i="8"/>
  <c r="C48" i="8"/>
  <c r="C47" i="8"/>
  <c r="G41" i="8"/>
  <c r="D47" i="8" l="1"/>
  <c r="D48" i="8"/>
  <c r="P48" i="8" s="1"/>
  <c r="E44" i="8"/>
  <c r="C49" i="8"/>
  <c r="G43" i="8"/>
  <c r="D49" i="8" l="1"/>
  <c r="P49" i="8" s="1"/>
  <c r="F44" i="8"/>
  <c r="E45" i="8"/>
  <c r="F45" i="8" s="1"/>
  <c r="P47" i="8"/>
  <c r="C50" i="8" l="1"/>
  <c r="G44" i="8"/>
  <c r="C51" i="8"/>
  <c r="G45" i="8"/>
  <c r="E46" i="8"/>
  <c r="F46" i="8" s="1"/>
  <c r="M14" i="8" l="1"/>
  <c r="G46" i="8"/>
  <c r="C52" i="8"/>
  <c r="D51" i="8"/>
  <c r="P51" i="8" s="1"/>
  <c r="K14" i="8"/>
  <c r="D50" i="8"/>
  <c r="P50" i="8" s="1"/>
  <c r="D52" i="8" l="1"/>
  <c r="L15" i="8" s="1"/>
  <c r="P52" i="8" l="1"/>
  <c r="E47" i="8" s="1"/>
  <c r="E48" i="8" l="1"/>
  <c r="F48" i="8" s="1"/>
  <c r="F47" i="8"/>
  <c r="G47" i="8" l="1"/>
  <c r="C53" i="8"/>
  <c r="C54" i="8"/>
  <c r="G48" i="8"/>
  <c r="E49" i="8"/>
  <c r="F49" i="8" s="1"/>
  <c r="G49" i="8" l="1"/>
  <c r="C55" i="8"/>
  <c r="D54" i="8"/>
  <c r="P54" i="8" s="1"/>
  <c r="D53" i="8"/>
  <c r="P53" i="8" s="1"/>
  <c r="E50" i="8"/>
  <c r="F50" i="8" s="1"/>
  <c r="C56" i="8" l="1"/>
  <c r="G50" i="8"/>
  <c r="D55" i="8"/>
  <c r="E51" i="8"/>
  <c r="F51" i="8" l="1"/>
  <c r="E52" i="8"/>
  <c r="F52" i="8" s="1"/>
  <c r="P55" i="8"/>
  <c r="D56" i="8"/>
  <c r="P56" i="8" l="1"/>
  <c r="G51" i="8"/>
  <c r="C57" i="8"/>
  <c r="K15" i="8"/>
  <c r="C58" i="8"/>
  <c r="M15" i="8"/>
  <c r="G52" i="8"/>
  <c r="D58" i="8" l="1"/>
  <c r="P58" i="8" s="1"/>
  <c r="D57" i="8"/>
  <c r="L16" i="8" l="1"/>
  <c r="P57" i="8"/>
  <c r="E53" i="8" s="1"/>
  <c r="E54" i="8" l="1"/>
  <c r="F54" i="8" s="1"/>
  <c r="F53" i="8"/>
  <c r="E55" i="8" l="1"/>
  <c r="F55" i="8" s="1"/>
  <c r="G53" i="8"/>
  <c r="C59" i="8"/>
  <c r="G54" i="8"/>
  <c r="C60" i="8"/>
  <c r="D59" i="8" l="1"/>
  <c r="E56" i="8"/>
  <c r="F56" i="8" s="1"/>
  <c r="C61" i="8"/>
  <c r="G55" i="8"/>
  <c r="D60" i="8"/>
  <c r="P60" i="8" s="1"/>
  <c r="C62" i="8" l="1"/>
  <c r="G56" i="8"/>
  <c r="D61" i="8"/>
  <c r="P61" i="8" s="1"/>
  <c r="E57" i="8"/>
  <c r="F57" i="8" s="1"/>
  <c r="P59" i="8"/>
  <c r="D62" i="8" l="1"/>
  <c r="P62" i="8" s="1"/>
  <c r="C63" i="8"/>
  <c r="G57" i="8"/>
  <c r="E58" i="8"/>
  <c r="F58" i="8" s="1"/>
  <c r="G58" i="8" l="1"/>
  <c r="C64" i="8"/>
  <c r="M16" i="8"/>
  <c r="D63" i="8"/>
  <c r="P63" i="8" s="1"/>
  <c r="K16" i="8"/>
  <c r="D64" i="8" l="1"/>
  <c r="P64" i="8" s="1"/>
  <c r="E59" i="8" s="1"/>
  <c r="L17" i="8" l="1"/>
  <c r="F59" i="8"/>
  <c r="E60" i="8"/>
  <c r="F60" i="8" l="1"/>
  <c r="G59" i="8"/>
  <c r="C65" i="8"/>
  <c r="E61" i="8"/>
  <c r="F61" i="8" s="1"/>
  <c r="G61" i="8" l="1"/>
  <c r="C67" i="8"/>
  <c r="E62" i="8"/>
  <c r="F62" i="8" s="1"/>
  <c r="D65" i="8"/>
  <c r="P65" i="8" s="1"/>
  <c r="C66" i="8"/>
  <c r="G60" i="8"/>
  <c r="D66" i="8" l="1"/>
  <c r="P66" i="8" s="1"/>
  <c r="E63" i="8"/>
  <c r="F63" i="8" s="1"/>
  <c r="G62" i="8"/>
  <c r="C68" i="8"/>
  <c r="D67" i="8"/>
  <c r="P67" i="8" s="1"/>
  <c r="D68" i="8" l="1"/>
  <c r="P68" i="8" s="1"/>
  <c r="C69" i="8"/>
  <c r="G63" i="8"/>
  <c r="E64" i="8"/>
  <c r="F64" i="8" s="1"/>
  <c r="D69" i="8" l="1"/>
  <c r="P69" i="8" s="1"/>
  <c r="C70" i="8"/>
  <c r="M17" i="8"/>
  <c r="G64" i="8"/>
  <c r="K17" i="8"/>
  <c r="D70" i="8" l="1"/>
  <c r="L18" i="8" s="1"/>
  <c r="P70" i="8" l="1"/>
  <c r="E65" i="8" s="1"/>
  <c r="F65" i="8" s="1"/>
  <c r="G65" i="8" l="1"/>
  <c r="C71" i="8"/>
  <c r="E66" i="8"/>
  <c r="E67" i="8" l="1"/>
  <c r="F67" i="8" s="1"/>
  <c r="F66" i="8"/>
  <c r="D71" i="8"/>
  <c r="E68" i="8" l="1"/>
  <c r="F68" i="8" s="1"/>
  <c r="C72" i="8"/>
  <c r="G66" i="8"/>
  <c r="P71" i="8"/>
  <c r="C73" i="8"/>
  <c r="G67" i="8"/>
  <c r="G68" i="8" l="1"/>
  <c r="C74" i="8"/>
  <c r="D73" i="8"/>
  <c r="E69" i="8"/>
  <c r="F69" i="8" s="1"/>
  <c r="D72" i="8"/>
  <c r="P72" i="8" s="1"/>
  <c r="E70" i="8" l="1"/>
  <c r="F70" i="8" s="1"/>
  <c r="K18" i="8" s="1"/>
  <c r="P73" i="8"/>
  <c r="D74" i="8"/>
  <c r="P74" i="8" s="1"/>
  <c r="C75" i="8"/>
  <c r="G69" i="8"/>
  <c r="D75" i="8" l="1"/>
  <c r="P75" i="8" s="1"/>
  <c r="M18" i="8"/>
  <c r="G70" i="8"/>
  <c r="C76" i="8"/>
  <c r="D76" i="8" l="1"/>
  <c r="L19" i="8" s="1"/>
  <c r="P76" i="8" l="1"/>
  <c r="E71" i="8" s="1"/>
  <c r="F71" i="8" s="1"/>
  <c r="G71" i="8" s="1"/>
  <c r="E72" i="8" l="1"/>
  <c r="E73" i="8" s="1"/>
  <c r="F73" i="8" s="1"/>
  <c r="C77" i="8"/>
  <c r="D77" i="8" s="1"/>
  <c r="P77" i="8" s="1"/>
  <c r="F72" i="8" l="1"/>
  <c r="C78" i="8" s="1"/>
  <c r="E74" i="8"/>
  <c r="F74" i="8" s="1"/>
  <c r="C79" i="8"/>
  <c r="G73" i="8"/>
  <c r="G72" i="8" l="1"/>
  <c r="C80" i="8"/>
  <c r="G74" i="8"/>
  <c r="D78" i="8"/>
  <c r="P78" i="8" s="1"/>
  <c r="D79" i="8"/>
  <c r="P79" i="8" s="1"/>
  <c r="E75" i="8"/>
  <c r="F75" i="8" s="1"/>
  <c r="E76" i="8" l="1"/>
  <c r="F76" i="8" s="1"/>
  <c r="K19" i="8" s="1"/>
  <c r="G75" i="8"/>
  <c r="C81" i="8"/>
  <c r="D80" i="8"/>
  <c r="P80" i="8" s="1"/>
  <c r="D81" i="8" l="1"/>
  <c r="P81" i="8" s="1"/>
  <c r="C82" i="8"/>
  <c r="M19" i="8"/>
  <c r="G76" i="8"/>
  <c r="D82" i="8" l="1"/>
  <c r="L20" i="8" s="1"/>
  <c r="P82" i="8" l="1"/>
  <c r="E77" i="8" s="1"/>
  <c r="F77" i="8" s="1"/>
  <c r="C83" i="8" s="1"/>
  <c r="D83" i="8" s="1"/>
  <c r="G77" i="8" l="1"/>
  <c r="E78" i="8"/>
  <c r="E79" i="8" s="1"/>
  <c r="F79" i="8" s="1"/>
  <c r="G79" i="8" s="1"/>
  <c r="P83" i="8"/>
  <c r="C85" i="8" l="1"/>
  <c r="E80" i="8"/>
  <c r="F80" i="8" s="1"/>
  <c r="C86" i="8" s="1"/>
  <c r="F78" i="8"/>
  <c r="C84" i="8" s="1"/>
  <c r="D84" i="8" s="1"/>
  <c r="P84" i="8" s="1"/>
  <c r="D85" i="8"/>
  <c r="P85" i="8" s="1"/>
  <c r="G78" i="8" l="1"/>
  <c r="G80" i="8"/>
  <c r="E81" i="8"/>
  <c r="F81" i="8" s="1"/>
  <c r="G81" i="8" s="1"/>
  <c r="D86" i="8"/>
  <c r="P86" i="8" s="1"/>
  <c r="C87" i="8" l="1"/>
  <c r="D87" i="8" s="1"/>
  <c r="P87" i="8" s="1"/>
  <c r="E82" i="8"/>
  <c r="F82" i="8" s="1"/>
  <c r="C88" i="8" s="1"/>
  <c r="K20" i="8" l="1"/>
  <c r="G82" i="8"/>
  <c r="M20" i="8"/>
  <c r="D88" i="8"/>
  <c r="L21" i="8" s="1"/>
  <c r="P88" i="8" l="1"/>
  <c r="E83" i="8" s="1"/>
  <c r="F83" i="8" l="1"/>
  <c r="E84" i="8"/>
  <c r="F84" i="8" s="1"/>
  <c r="C90" i="8" l="1"/>
  <c r="G84" i="8"/>
  <c r="G83" i="8"/>
  <c r="C89" i="8"/>
  <c r="E85" i="8"/>
  <c r="F85" i="8" s="1"/>
  <c r="D89" i="8" l="1"/>
  <c r="D90" i="8"/>
  <c r="P90" i="8" s="1"/>
  <c r="E86" i="8"/>
  <c r="F86" i="8" s="1"/>
  <c r="C91" i="8"/>
  <c r="G85" i="8"/>
  <c r="D91" i="8" l="1"/>
  <c r="C92" i="8"/>
  <c r="G86" i="8"/>
  <c r="P89" i="8"/>
  <c r="E87" i="8"/>
  <c r="F87" i="8" s="1"/>
  <c r="G87" i="8" l="1"/>
  <c r="C93" i="8"/>
  <c r="P91" i="8"/>
  <c r="E88" i="8"/>
  <c r="F88" i="8" s="1"/>
  <c r="D92" i="8"/>
  <c r="P92" i="8" s="1"/>
  <c r="D93" i="8" l="1"/>
  <c r="C94" i="8"/>
  <c r="G88" i="8"/>
  <c r="M21" i="8"/>
  <c r="K21" i="8"/>
  <c r="P93" i="8" l="1"/>
  <c r="D94" i="8"/>
  <c r="L22" i="8" s="1"/>
  <c r="P94" i="8" l="1"/>
  <c r="E89" i="8" s="1"/>
  <c r="F89" i="8" s="1"/>
  <c r="E90" i="8" l="1"/>
  <c r="F90" i="8" s="1"/>
  <c r="G90" i="8" s="1"/>
  <c r="C95" i="8"/>
  <c r="G89" i="8"/>
  <c r="C96" i="8" l="1"/>
  <c r="E91" i="8"/>
  <c r="F91" i="8" s="1"/>
  <c r="C97" i="8" s="1"/>
  <c r="D96" i="8"/>
  <c r="P96" i="8" s="1"/>
  <c r="D95" i="8"/>
  <c r="P95" i="8" s="1"/>
  <c r="G91" i="8" l="1"/>
  <c r="E92" i="8"/>
  <c r="F92" i="8" s="1"/>
  <c r="D97" i="8"/>
  <c r="P97" i="8" s="1"/>
  <c r="E93" i="8" l="1"/>
  <c r="F93" i="8" s="1"/>
  <c r="G93" i="8" s="1"/>
  <c r="C98" i="8"/>
  <c r="G92" i="8"/>
  <c r="E94" i="8" l="1"/>
  <c r="F94" i="8" s="1"/>
  <c r="G94" i="8" s="1"/>
  <c r="C99" i="8"/>
  <c r="D99" i="8" s="1"/>
  <c r="P99" i="8" s="1"/>
  <c r="D98" i="8"/>
  <c r="P98" i="8" s="1"/>
  <c r="K22" i="8" l="1"/>
  <c r="M22" i="8"/>
  <c r="C100" i="8"/>
  <c r="D100" i="8" s="1"/>
  <c r="L23" i="8" s="1"/>
  <c r="P100" i="8" l="1"/>
  <c r="E95" i="8" s="1"/>
  <c r="F95" i="8" s="1"/>
  <c r="G95" i="8" s="1"/>
  <c r="E96" i="8" l="1"/>
  <c r="E97" i="8" s="1"/>
  <c r="F97" i="8" s="1"/>
  <c r="C101" i="8"/>
  <c r="D101" i="8" s="1"/>
  <c r="F96" i="8" l="1"/>
  <c r="G96" i="8" s="1"/>
  <c r="C103" i="8"/>
  <c r="G97" i="8"/>
  <c r="P101" i="8"/>
  <c r="E98" i="8"/>
  <c r="F98" i="8" s="1"/>
  <c r="C102" i="8" l="1"/>
  <c r="D102" i="8" s="1"/>
  <c r="D103" i="8"/>
  <c r="P103" i="8" s="1"/>
  <c r="G98" i="8"/>
  <c r="C104" i="8"/>
  <c r="E99" i="8"/>
  <c r="F99" i="8" s="1"/>
  <c r="E100" i="8" l="1"/>
  <c r="F100" i="8" s="1"/>
  <c r="C106" i="8" s="1"/>
  <c r="P102" i="8"/>
  <c r="G99" i="8"/>
  <c r="C105" i="8"/>
  <c r="D104" i="8"/>
  <c r="K23" i="8" l="1"/>
  <c r="M23" i="8"/>
  <c r="G100" i="8"/>
  <c r="D105" i="8"/>
  <c r="P104" i="8"/>
  <c r="D106" i="8"/>
  <c r="L24" i="8" s="1"/>
  <c r="P106" i="8" l="1"/>
  <c r="P105" i="8"/>
  <c r="E101" i="8" s="1"/>
  <c r="E102" i="8" s="1"/>
  <c r="F102" i="8" s="1"/>
  <c r="G102" i="8" s="1"/>
  <c r="F101" i="8" l="1"/>
  <c r="G101" i="8" s="1"/>
  <c r="C108" i="8"/>
  <c r="E103" i="8"/>
  <c r="C107" i="8" l="1"/>
  <c r="D107" i="8" s="1"/>
  <c r="P107" i="8" s="1"/>
  <c r="F103" i="8"/>
  <c r="E104" i="8"/>
  <c r="F104" i="8" s="1"/>
  <c r="D108" i="8"/>
  <c r="C110" i="8" l="1"/>
  <c r="G104" i="8"/>
  <c r="C109" i="8"/>
  <c r="G103" i="8"/>
  <c r="P108" i="8"/>
  <c r="E105" i="8"/>
  <c r="F105" i="8" s="1"/>
  <c r="G105" i="8" l="1"/>
  <c r="C111" i="8"/>
  <c r="D109" i="8"/>
  <c r="P109" i="8" s="1"/>
  <c r="D110" i="8"/>
  <c r="P110" i="8" s="1"/>
  <c r="E106" i="8"/>
  <c r="F106" i="8" s="1"/>
  <c r="C112" i="8" l="1"/>
  <c r="M24" i="8"/>
  <c r="G106" i="8"/>
  <c r="D111" i="8"/>
  <c r="P111" i="8" s="1"/>
  <c r="K24" i="8"/>
  <c r="D112" i="8" l="1"/>
  <c r="L25" i="8" s="1"/>
  <c r="P112" i="8" l="1"/>
  <c r="E107" i="8" s="1"/>
  <c r="F107" i="8" s="1"/>
  <c r="E108" i="8" l="1"/>
  <c r="F108" i="8" s="1"/>
  <c r="C114" i="8" s="1"/>
  <c r="G107" i="8"/>
  <c r="C113" i="8"/>
  <c r="G108" i="8" l="1"/>
  <c r="E109" i="8"/>
  <c r="F109" i="8" s="1"/>
  <c r="G109" i="8" s="1"/>
  <c r="D114" i="8"/>
  <c r="D113" i="8"/>
  <c r="P113" i="8" s="1"/>
  <c r="E110" i="8" l="1"/>
  <c r="F110" i="8" s="1"/>
  <c r="G110" i="8" s="1"/>
  <c r="C115" i="8"/>
  <c r="D115" i="8" s="1"/>
  <c r="P115" i="8" s="1"/>
  <c r="P114" i="8"/>
  <c r="C116" i="8" l="1"/>
  <c r="D116" i="8" s="1"/>
  <c r="P116" i="8" s="1"/>
  <c r="E111" i="8"/>
  <c r="F111" i="8" s="1"/>
  <c r="G111" i="8" s="1"/>
  <c r="C117" i="8" l="1"/>
  <c r="D117" i="8" s="1"/>
  <c r="P117" i="8" s="1"/>
  <c r="E112" i="8"/>
  <c r="F112" i="8" s="1"/>
  <c r="C118" i="8" s="1"/>
  <c r="M25" i="8" l="1"/>
  <c r="G112" i="8"/>
  <c r="K25" i="8"/>
  <c r="D118" i="8"/>
  <c r="L26" i="8" s="1"/>
  <c r="P118" i="8" l="1"/>
  <c r="E113" i="8" s="1"/>
  <c r="F113" i="8" s="1"/>
  <c r="C119" i="8" s="1"/>
  <c r="E114" i="8" l="1"/>
  <c r="F114" i="8" s="1"/>
  <c r="G113" i="8"/>
  <c r="D119" i="8"/>
  <c r="P119" i="8" s="1"/>
  <c r="E115" i="8" l="1"/>
  <c r="F115" i="8" s="1"/>
  <c r="C121" i="8" s="1"/>
  <c r="G114" i="8"/>
  <c r="C120" i="8"/>
  <c r="G115" i="8" l="1"/>
  <c r="E116" i="8"/>
  <c r="F116" i="8" s="1"/>
  <c r="G116" i="8" s="1"/>
  <c r="D120" i="8"/>
  <c r="D121" i="8"/>
  <c r="C122" i="8" l="1"/>
  <c r="D122" i="8" s="1"/>
  <c r="E117" i="8"/>
  <c r="F117" i="8" s="1"/>
  <c r="G117" i="8" s="1"/>
  <c r="P121" i="8"/>
  <c r="P120" i="8"/>
  <c r="E118" i="8" l="1"/>
  <c r="F118" i="8" s="1"/>
  <c r="K26" i="8" s="1"/>
  <c r="C123" i="8"/>
  <c r="D123" i="8" s="1"/>
  <c r="P123" i="8" s="1"/>
  <c r="P122" i="8"/>
  <c r="G118" i="8" l="1"/>
  <c r="M26" i="8"/>
  <c r="C124" i="8"/>
  <c r="D124" i="8" s="1"/>
  <c r="L27" i="8" s="1"/>
  <c r="P124" i="8" l="1"/>
  <c r="E119" i="8" s="1"/>
  <c r="F119" i="8" s="1"/>
  <c r="E120" i="8" l="1"/>
  <c r="F120" i="8" s="1"/>
  <c r="G120" i="8" s="1"/>
  <c r="G119" i="8"/>
  <c r="C125" i="8"/>
  <c r="C126" i="8" l="1"/>
  <c r="D126" i="8" s="1"/>
  <c r="P126" i="8" s="1"/>
  <c r="E121" i="8"/>
  <c r="F121" i="8" s="1"/>
  <c r="G121" i="8" s="1"/>
  <c r="D125" i="8"/>
  <c r="C127" i="8" l="1"/>
  <c r="D127" i="8" s="1"/>
  <c r="E122" i="8"/>
  <c r="F122" i="8" s="1"/>
  <c r="P125" i="8"/>
  <c r="E123" i="8" l="1"/>
  <c r="F123" i="8" s="1"/>
  <c r="P127" i="8"/>
  <c r="C128" i="8"/>
  <c r="G122" i="8"/>
  <c r="E124" i="8" l="1"/>
  <c r="F124" i="8" s="1"/>
  <c r="K27" i="8" s="1"/>
  <c r="D128" i="8"/>
  <c r="C129" i="8"/>
  <c r="G123" i="8"/>
  <c r="C130" i="8" l="1"/>
  <c r="D130" i="8" s="1"/>
  <c r="P130" i="8" s="1"/>
  <c r="G124" i="8"/>
  <c r="M27" i="8"/>
  <c r="D129" i="8"/>
  <c r="P129" i="8" s="1"/>
  <c r="P128" i="8"/>
  <c r="E125" i="8" l="1"/>
  <c r="L28" i="8"/>
  <c r="E126" i="8" l="1"/>
  <c r="F126" i="8" s="1"/>
  <c r="F125" i="8"/>
  <c r="E127" i="8" l="1"/>
  <c r="F127" i="8" s="1"/>
  <c r="C131" i="8"/>
  <c r="G125" i="8"/>
  <c r="C132" i="8"/>
  <c r="G126" i="8"/>
  <c r="D132" i="8" l="1"/>
  <c r="P132" i="8" s="1"/>
  <c r="D131" i="8"/>
  <c r="C133" i="8"/>
  <c r="G127" i="8"/>
  <c r="E128" i="8"/>
  <c r="F128" i="8" l="1"/>
  <c r="E129" i="8"/>
  <c r="F129" i="8" s="1"/>
  <c r="D133" i="8"/>
  <c r="P133" i="8" s="1"/>
  <c r="P131" i="8"/>
  <c r="G129" i="8" l="1"/>
  <c r="C135" i="8"/>
  <c r="C134" i="8"/>
  <c r="G128" i="8"/>
  <c r="E130" i="8"/>
  <c r="F130" i="8" s="1"/>
  <c r="M28" i="8" l="1"/>
  <c r="C136" i="8"/>
  <c r="G130" i="8"/>
  <c r="K28" i="8"/>
  <c r="D134" i="8"/>
  <c r="D135" i="8"/>
  <c r="P134" i="8" l="1"/>
  <c r="P135" i="8"/>
  <c r="D136" i="8"/>
  <c r="P136" i="8" l="1"/>
  <c r="E131" i="8" s="1"/>
  <c r="L29" i="8"/>
  <c r="E132" i="8" l="1"/>
  <c r="F132" i="8" s="1"/>
  <c r="F131" i="8"/>
  <c r="E133" i="8" l="1"/>
  <c r="F133" i="8" s="1"/>
  <c r="C137" i="8"/>
  <c r="G131" i="8"/>
  <c r="G132" i="8"/>
  <c r="C138" i="8"/>
  <c r="D138" i="8" l="1"/>
  <c r="P138" i="8" s="1"/>
  <c r="D137" i="8"/>
  <c r="E134" i="8"/>
  <c r="F134" i="8" s="1"/>
  <c r="C139" i="8"/>
  <c r="G133" i="8"/>
  <c r="P137" i="8" l="1"/>
  <c r="E135" i="8"/>
  <c r="D139" i="8"/>
  <c r="G134" i="8"/>
  <c r="C140" i="8"/>
  <c r="P139" i="8" l="1"/>
  <c r="F135" i="8"/>
  <c r="E136" i="8"/>
  <c r="F136" i="8" s="1"/>
  <c r="D140" i="8"/>
  <c r="P140" i="8" s="1"/>
  <c r="C142" i="8" l="1"/>
  <c r="G136" i="8"/>
  <c r="M29" i="8"/>
  <c r="C141" i="8"/>
  <c r="G135" i="8"/>
  <c r="K29" i="8"/>
  <c r="D141" i="8" l="1"/>
  <c r="P141" i="8" s="1"/>
  <c r="D142" i="8"/>
  <c r="L30" i="8" l="1"/>
  <c r="P142" i="8"/>
  <c r="E137" i="8"/>
  <c r="F137" i="8" l="1"/>
  <c r="E138" i="8"/>
  <c r="F138" i="8" s="1"/>
  <c r="C144" i="8" l="1"/>
  <c r="G138" i="8"/>
  <c r="E139" i="8"/>
  <c r="F139" i="8" s="1"/>
  <c r="G137" i="8"/>
  <c r="C143" i="8"/>
  <c r="G139" i="8" l="1"/>
  <c r="C145" i="8"/>
  <c r="D143" i="8"/>
  <c r="D144" i="8"/>
  <c r="P144" i="8" s="1"/>
  <c r="E140" i="8"/>
  <c r="F140" i="8" l="1"/>
  <c r="E141" i="8"/>
  <c r="F141" i="8" s="1"/>
  <c r="P143" i="8"/>
  <c r="D145" i="8"/>
  <c r="P145" i="8" s="1"/>
  <c r="G141" i="8" l="1"/>
  <c r="C147" i="8"/>
  <c r="C146" i="8"/>
  <c r="G140" i="8"/>
  <c r="E142" i="8"/>
  <c r="F142" i="8" s="1"/>
  <c r="K30" i="8" s="1"/>
  <c r="C148" i="8" l="1"/>
  <c r="G142" i="8"/>
  <c r="M30" i="8"/>
  <c r="D146" i="8"/>
  <c r="D147" i="8"/>
  <c r="P147" i="8" s="1"/>
  <c r="P146" i="8" l="1"/>
  <c r="D148" i="8"/>
  <c r="L31" i="8" s="1"/>
  <c r="P148" i="8" l="1"/>
  <c r="E143" i="8" s="1"/>
  <c r="F143" i="8" s="1"/>
  <c r="E144" i="8" l="1"/>
  <c r="F144" i="8" s="1"/>
  <c r="G144" i="8" s="1"/>
  <c r="G143" i="8"/>
  <c r="C149" i="8"/>
  <c r="E145" i="8" l="1"/>
  <c r="F145" i="8" s="1"/>
  <c r="G145" i="8" s="1"/>
  <c r="C150" i="8"/>
  <c r="D150" i="8" s="1"/>
  <c r="P150" i="8" s="1"/>
  <c r="D149" i="8"/>
  <c r="P149" i="8" s="1"/>
  <c r="E146" i="8" l="1"/>
  <c r="F146" i="8" s="1"/>
  <c r="C151" i="8"/>
  <c r="D151" i="8" s="1"/>
  <c r="P151" i="8" s="1"/>
  <c r="E147" i="8" l="1"/>
  <c r="F147" i="8" s="1"/>
  <c r="G147" i="8" s="1"/>
  <c r="C152" i="8"/>
  <c r="G146" i="8"/>
  <c r="C153" i="8" l="1"/>
  <c r="D153" i="8" s="1"/>
  <c r="P153" i="8" s="1"/>
  <c r="E148" i="8"/>
  <c r="F148" i="8" s="1"/>
  <c r="K31" i="8" s="1"/>
  <c r="D152" i="8"/>
  <c r="G148" i="8" l="1"/>
  <c r="M31" i="8"/>
  <c r="C154" i="8"/>
  <c r="D154" i="8" s="1"/>
  <c r="P154" i="8" s="1"/>
  <c r="P152" i="8"/>
  <c r="L32" i="8" l="1"/>
  <c r="E149" i="8"/>
  <c r="E150" i="8" l="1"/>
  <c r="F150" i="8" s="1"/>
  <c r="F149" i="8"/>
  <c r="E151" i="8" l="1"/>
  <c r="F151" i="8" s="1"/>
  <c r="C155" i="8"/>
  <c r="G149" i="8"/>
  <c r="G150" i="8"/>
  <c r="C156" i="8"/>
  <c r="D155" i="8" l="1"/>
  <c r="C157" i="8"/>
  <c r="G151" i="8"/>
  <c r="E152" i="8"/>
  <c r="F152" i="8" s="1"/>
  <c r="D156" i="8"/>
  <c r="P156" i="8" s="1"/>
  <c r="C158" i="8" l="1"/>
  <c r="G152" i="8"/>
  <c r="E153" i="8"/>
  <c r="F153" i="8" s="1"/>
  <c r="D157" i="8"/>
  <c r="P157" i="8" s="1"/>
  <c r="P155" i="8"/>
  <c r="C159" i="8" l="1"/>
  <c r="G153" i="8"/>
  <c r="E154" i="8"/>
  <c r="F154" i="8" s="1"/>
  <c r="D158" i="8"/>
  <c r="P158" i="8" s="1"/>
  <c r="M32" i="8" l="1"/>
  <c r="G154" i="8"/>
  <c r="C160" i="8"/>
  <c r="D159" i="8"/>
  <c r="P159" i="8" s="1"/>
  <c r="K32" i="8"/>
  <c r="D160" i="8" l="1"/>
  <c r="L33" i="8" s="1"/>
  <c r="P160" i="8" l="1"/>
  <c r="E155" i="8" s="1"/>
  <c r="E156" i="8" s="1"/>
  <c r="F156" i="8" l="1"/>
  <c r="F155" i="8"/>
  <c r="E157" i="8"/>
  <c r="F157" i="8" l="1"/>
  <c r="G155" i="8"/>
  <c r="C161" i="8"/>
  <c r="E158" i="8"/>
  <c r="F158" i="8" s="1"/>
  <c r="G156" i="8"/>
  <c r="C162" i="8"/>
  <c r="E159" i="8" l="1"/>
  <c r="F159" i="8" s="1"/>
  <c r="C164" i="8"/>
  <c r="G158" i="8"/>
  <c r="D162" i="8"/>
  <c r="P162" i="8" s="1"/>
  <c r="D161" i="8"/>
  <c r="C163" i="8"/>
  <c r="G157" i="8"/>
  <c r="D163" i="8" l="1"/>
  <c r="P163" i="8" s="1"/>
  <c r="P161" i="8"/>
  <c r="D164" i="8"/>
  <c r="P164" i="8" s="1"/>
  <c r="C165" i="8"/>
  <c r="G159" i="8"/>
  <c r="E160" i="8"/>
  <c r="F160" i="8" s="1"/>
  <c r="G160" i="8" l="1"/>
  <c r="M33" i="8"/>
  <c r="C166" i="8"/>
  <c r="D165" i="8"/>
  <c r="K33" i="8"/>
  <c r="P165" i="8" l="1"/>
  <c r="D166" i="8"/>
  <c r="L34" i="8" s="1"/>
  <c r="P166" i="8" l="1"/>
  <c r="E161" i="8" s="1"/>
  <c r="F161" i="8" s="1"/>
  <c r="E162" i="8" l="1"/>
  <c r="F162" i="8" s="1"/>
  <c r="C168" i="8" s="1"/>
  <c r="C167" i="8"/>
  <c r="G161" i="8"/>
  <c r="G162" i="8" l="1"/>
  <c r="E163" i="8"/>
  <c r="F163" i="8" s="1"/>
  <c r="C169" i="8" s="1"/>
  <c r="D168" i="8"/>
  <c r="P168" i="8" s="1"/>
  <c r="D167" i="8"/>
  <c r="E164" i="8" l="1"/>
  <c r="F164" i="8" s="1"/>
  <c r="G163" i="8"/>
  <c r="D169" i="8"/>
  <c r="P169" i="8" s="1"/>
  <c r="P167" i="8"/>
  <c r="E165" i="8" l="1"/>
  <c r="F165" i="8" s="1"/>
  <c r="G165" i="8" s="1"/>
  <c r="G164" i="8"/>
  <c r="C170" i="8"/>
  <c r="E166" i="8" l="1"/>
  <c r="F166" i="8" s="1"/>
  <c r="G166" i="8" s="1"/>
  <c r="C171" i="8"/>
  <c r="D171" i="8" s="1"/>
  <c r="P171" i="8" s="1"/>
  <c r="D170" i="8"/>
  <c r="K34" i="8" l="1"/>
  <c r="M34" i="8"/>
  <c r="C172" i="8"/>
  <c r="D172" i="8" s="1"/>
  <c r="P170" i="8"/>
  <c r="L35" i="8" l="1"/>
  <c r="P172" i="8"/>
  <c r="E167" i="8" s="1"/>
  <c r="E168" i="8" s="1"/>
  <c r="F168" i="8" s="1"/>
  <c r="C174" i="8" s="1"/>
  <c r="F167" i="8" l="1"/>
  <c r="G167" i="8" s="1"/>
  <c r="G168" i="8"/>
  <c r="E169" i="8"/>
  <c r="E170" i="8" s="1"/>
  <c r="F170" i="8" s="1"/>
  <c r="D174" i="8"/>
  <c r="P174" i="8" s="1"/>
  <c r="C173" i="8" l="1"/>
  <c r="D173" i="8" s="1"/>
  <c r="F169" i="8"/>
  <c r="C175" i="8" s="1"/>
  <c r="E171" i="8"/>
  <c r="F171" i="8" s="1"/>
  <c r="C176" i="8"/>
  <c r="G170" i="8"/>
  <c r="G169" i="8" l="1"/>
  <c r="E172" i="8"/>
  <c r="F172" i="8" s="1"/>
  <c r="P173" i="8"/>
  <c r="D175" i="8"/>
  <c r="C177" i="8"/>
  <c r="G171" i="8"/>
  <c r="D176" i="8"/>
  <c r="P176" i="8" s="1"/>
  <c r="P175" i="8" l="1"/>
  <c r="G172" i="8"/>
  <c r="C178" i="8"/>
  <c r="M35" i="8"/>
  <c r="D177" i="8"/>
  <c r="P177" i="8" s="1"/>
  <c r="K35" i="8"/>
  <c r="D178" i="8" l="1"/>
  <c r="L36" i="8" s="1"/>
  <c r="P178" i="8" l="1"/>
  <c r="E173" i="8" s="1"/>
  <c r="E174" i="8" l="1"/>
  <c r="F174" i="8" s="1"/>
  <c r="F173" i="8"/>
  <c r="E175" i="8" l="1"/>
  <c r="F175" i="8" s="1"/>
  <c r="C179" i="8"/>
  <c r="G173" i="8"/>
  <c r="C180" i="8"/>
  <c r="G174" i="8"/>
  <c r="D180" i="8" l="1"/>
  <c r="P180" i="8" s="1"/>
  <c r="D179" i="8"/>
  <c r="P179" i="8" s="1"/>
  <c r="E176" i="8"/>
  <c r="F176" i="8" s="1"/>
  <c r="G175" i="8"/>
  <c r="C181" i="8"/>
  <c r="E177" i="8" l="1"/>
  <c r="F177" i="8" s="1"/>
  <c r="D181" i="8"/>
  <c r="C182" i="8"/>
  <c r="G176" i="8"/>
  <c r="D182" i="8" l="1"/>
  <c r="P182" i="8" s="1"/>
  <c r="E178" i="8"/>
  <c r="F178" i="8" s="1"/>
  <c r="P181" i="8"/>
  <c r="G177" i="8"/>
  <c r="C183" i="8"/>
  <c r="C184" i="8" l="1"/>
  <c r="G178" i="8"/>
  <c r="M36" i="8"/>
  <c r="K36" i="8"/>
  <c r="D183" i="8"/>
  <c r="P183" i="8" l="1"/>
  <c r="D184" i="8"/>
  <c r="L37" i="8" s="1"/>
  <c r="P184" i="8" l="1"/>
  <c r="E179" i="8"/>
  <c r="E180" i="8" l="1"/>
  <c r="F180" i="8" s="1"/>
  <c r="F179" i="8"/>
  <c r="E181" i="8" l="1"/>
  <c r="F181" i="8" s="1"/>
  <c r="C185" i="8"/>
  <c r="G179" i="8"/>
  <c r="G180" i="8"/>
  <c r="C186" i="8"/>
  <c r="D186" i="8" l="1"/>
  <c r="P186" i="8" s="1"/>
  <c r="D185" i="8"/>
  <c r="P185" i="8" s="1"/>
  <c r="C187" i="8"/>
  <c r="G181" i="8"/>
  <c r="E182" i="8"/>
  <c r="F182" i="8" s="1"/>
  <c r="E183" i="8" l="1"/>
  <c r="G182" i="8"/>
  <c r="C188" i="8"/>
  <c r="D187" i="8"/>
  <c r="P187" i="8" s="1"/>
  <c r="D188" i="8" l="1"/>
  <c r="P188" i="8" s="1"/>
  <c r="F183" i="8"/>
  <c r="E184" i="8"/>
  <c r="F184" i="8" s="1"/>
  <c r="G183" i="8" l="1"/>
  <c r="C189" i="8"/>
  <c r="K37" i="8"/>
  <c r="G184" i="8"/>
  <c r="M37" i="8"/>
  <c r="C190" i="8"/>
  <c r="D190" i="8" l="1"/>
  <c r="P190" i="8" s="1"/>
  <c r="D189" i="8"/>
  <c r="L38" i="8" l="1"/>
  <c r="P189" i="8"/>
  <c r="E185" i="8" s="1"/>
  <c r="E186" i="8" s="1"/>
  <c r="F186" i="8" s="1"/>
  <c r="E187" i="8" l="1"/>
  <c r="F187" i="8" s="1"/>
  <c r="F185" i="8"/>
  <c r="G185" i="8" s="1"/>
  <c r="C192" i="8"/>
  <c r="G186" i="8"/>
  <c r="C191" i="8" l="1"/>
  <c r="D191" i="8" s="1"/>
  <c r="P191" i="8" s="1"/>
  <c r="E188" i="8"/>
  <c r="F188" i="8" s="1"/>
  <c r="C194" i="8" s="1"/>
  <c r="D192" i="8"/>
  <c r="P192" i="8" s="1"/>
  <c r="G187" i="8"/>
  <c r="C193" i="8"/>
  <c r="E189" i="8" l="1"/>
  <c r="F189" i="8" s="1"/>
  <c r="C195" i="8" s="1"/>
  <c r="G188" i="8"/>
  <c r="D193" i="8"/>
  <c r="D194" i="8"/>
  <c r="P194" i="8" s="1"/>
  <c r="E190" i="8" l="1"/>
  <c r="F190" i="8" s="1"/>
  <c r="K38" i="8" s="1"/>
  <c r="G189" i="8"/>
  <c r="D195" i="8"/>
  <c r="P195" i="8" s="1"/>
  <c r="P193" i="8"/>
  <c r="G190" i="8" l="1"/>
  <c r="M38" i="8"/>
  <c r="C196" i="8"/>
  <c r="D196" i="8" s="1"/>
  <c r="L39" i="8" s="1"/>
  <c r="P196" i="8" l="1"/>
  <c r="E191" i="8" s="1"/>
  <c r="E192" i="8" l="1"/>
  <c r="F192" i="8" s="1"/>
  <c r="F191" i="8"/>
  <c r="C197" i="8" l="1"/>
  <c r="G191" i="8"/>
  <c r="E193" i="8"/>
  <c r="F193" i="8" s="1"/>
  <c r="C198" i="8"/>
  <c r="G192" i="8"/>
  <c r="D198" i="8" l="1"/>
  <c r="P198" i="8" s="1"/>
  <c r="C199" i="8"/>
  <c r="G193" i="8"/>
  <c r="D197" i="8"/>
  <c r="P197" i="8" s="1"/>
  <c r="E194" i="8"/>
  <c r="F194" i="8" s="1"/>
  <c r="C200" i="8" l="1"/>
  <c r="G194" i="8"/>
  <c r="E195" i="8"/>
  <c r="D199" i="8"/>
  <c r="P199" i="8" s="1"/>
  <c r="F195" i="8" l="1"/>
  <c r="E196" i="8"/>
  <c r="F196" i="8" s="1"/>
  <c r="D200" i="8"/>
  <c r="P200" i="8" s="1"/>
  <c r="G196" i="8" l="1"/>
  <c r="M39" i="8"/>
  <c r="C202" i="8"/>
  <c r="G195" i="8"/>
  <c r="C201" i="8"/>
  <c r="K39" i="8"/>
  <c r="D201" i="8" l="1"/>
  <c r="P201" i="8" s="1"/>
  <c r="D202" i="8"/>
  <c r="L40" i="8" l="1"/>
  <c r="P202" i="8"/>
  <c r="E197" i="8"/>
  <c r="E198" i="8" l="1"/>
  <c r="F198" i="8" s="1"/>
  <c r="F197" i="8"/>
  <c r="E199" i="8" l="1"/>
  <c r="F199" i="8" s="1"/>
  <c r="G197" i="8"/>
  <c r="C203" i="8"/>
  <c r="G198" i="8"/>
  <c r="C204" i="8"/>
  <c r="D204" i="8" l="1"/>
  <c r="P204" i="8" s="1"/>
  <c r="D203" i="8"/>
  <c r="P203" i="8" s="1"/>
  <c r="C205" i="8"/>
  <c r="G199" i="8"/>
  <c r="E200" i="8"/>
  <c r="F200" i="8" s="1"/>
  <c r="C206" i="8" l="1"/>
  <c r="G200" i="8"/>
  <c r="E201" i="8"/>
  <c r="D205" i="8"/>
  <c r="P205" i="8" s="1"/>
  <c r="F201" i="8" l="1"/>
  <c r="E202" i="8"/>
  <c r="F202" i="8" s="1"/>
  <c r="D206" i="8"/>
  <c r="P206" i="8" s="1"/>
  <c r="M40" i="8" l="1"/>
  <c r="G202" i="8"/>
  <c r="C208" i="8"/>
  <c r="C207" i="8"/>
  <c r="G201" i="8"/>
  <c r="K40" i="8"/>
  <c r="D207" i="8" l="1"/>
  <c r="P207" i="8" s="1"/>
  <c r="D208" i="8"/>
  <c r="P208" i="8" s="1"/>
  <c r="E203" i="8" l="1"/>
  <c r="F203" i="8" s="1"/>
  <c r="L41" i="8"/>
  <c r="E204" i="8" l="1"/>
  <c r="F204" i="8" s="1"/>
  <c r="C210" i="8" s="1"/>
  <c r="C209" i="8"/>
  <c r="G203" i="8"/>
  <c r="G204" i="8" l="1"/>
  <c r="E205" i="8"/>
  <c r="F205" i="8" s="1"/>
  <c r="G205" i="8" s="1"/>
  <c r="D210" i="8"/>
  <c r="P210" i="8" s="1"/>
  <c r="D209" i="8"/>
  <c r="E206" i="8" l="1"/>
  <c r="F206" i="8" s="1"/>
  <c r="G206" i="8" s="1"/>
  <c r="C211" i="8"/>
  <c r="P209" i="8"/>
  <c r="D211" i="8"/>
  <c r="C212" i="8" l="1"/>
  <c r="D212" i="8" s="1"/>
  <c r="E207" i="8"/>
  <c r="F207" i="8" s="1"/>
  <c r="C213" i="8" s="1"/>
  <c r="P211" i="8"/>
  <c r="G207" i="8" l="1"/>
  <c r="E208" i="8"/>
  <c r="F208" i="8" s="1"/>
  <c r="C214" i="8" s="1"/>
  <c r="P212" i="8"/>
  <c r="D213" i="8"/>
  <c r="P213" i="8" s="1"/>
  <c r="K41" i="8" l="1"/>
  <c r="G208" i="8"/>
  <c r="M41" i="8"/>
  <c r="D214" i="8"/>
  <c r="L42" i="8" s="1"/>
  <c r="P214" i="8" l="1"/>
  <c r="E209" i="8" s="1"/>
  <c r="E210" i="8" s="1"/>
  <c r="F210" i="8" s="1"/>
  <c r="F209" i="8" l="1"/>
  <c r="C215" i="8" s="1"/>
  <c r="E211" i="8"/>
  <c r="F211" i="8" s="1"/>
  <c r="G210" i="8"/>
  <c r="C216" i="8"/>
  <c r="G209" i="8" l="1"/>
  <c r="C217" i="8"/>
  <c r="G211" i="8"/>
  <c r="D216" i="8"/>
  <c r="P216" i="8" s="1"/>
  <c r="D215" i="8"/>
  <c r="P215" i="8" s="1"/>
  <c r="E212" i="8"/>
  <c r="F212" i="8" s="1"/>
  <c r="C218" i="8" l="1"/>
  <c r="G212" i="8"/>
  <c r="E213" i="8"/>
  <c r="D217" i="8"/>
  <c r="P217" i="8" s="1"/>
  <c r="F213" i="8" l="1"/>
  <c r="E214" i="8"/>
  <c r="F214" i="8" s="1"/>
  <c r="D218" i="8"/>
  <c r="P218" i="8" s="1"/>
  <c r="G214" i="8" l="1"/>
  <c r="C220" i="8"/>
  <c r="M42" i="8"/>
  <c r="C219" i="8"/>
  <c r="G213" i="8"/>
  <c r="K42" i="8"/>
  <c r="D219" i="8" l="1"/>
  <c r="D220" i="8"/>
  <c r="P220" i="8" s="1"/>
  <c r="L43" i="8" l="1"/>
  <c r="P219" i="8"/>
  <c r="E215" i="8" s="1"/>
  <c r="E216" i="8" s="1"/>
  <c r="F215" i="8" l="1"/>
  <c r="C221" i="8" s="1"/>
  <c r="D221" i="8" s="1"/>
  <c r="P221" i="8" s="1"/>
  <c r="F216" i="8"/>
  <c r="E217" i="8"/>
  <c r="G215" i="8" l="1"/>
  <c r="C222" i="8"/>
  <c r="G216" i="8"/>
  <c r="F217" i="8"/>
  <c r="E218" i="8"/>
  <c r="F218" i="8" s="1"/>
  <c r="G218" i="8" l="1"/>
  <c r="C224" i="8"/>
  <c r="C223" i="8"/>
  <c r="G217" i="8"/>
  <c r="E219" i="8"/>
  <c r="F219" i="8" s="1"/>
  <c r="D222" i="8"/>
  <c r="G219" i="8" l="1"/>
  <c r="C225" i="8"/>
  <c r="E220" i="8"/>
  <c r="F220" i="8" s="1"/>
  <c r="D223" i="8"/>
  <c r="P223" i="8" s="1"/>
  <c r="D224" i="8"/>
  <c r="P222" i="8"/>
  <c r="C226" i="8" l="1"/>
  <c r="G220" i="8"/>
  <c r="M43" i="8"/>
  <c r="P224" i="8"/>
  <c r="D225" i="8"/>
  <c r="P225" i="8" s="1"/>
  <c r="K43" i="8"/>
  <c r="D226" i="8" l="1"/>
  <c r="L44" i="8" s="1"/>
  <c r="P226" i="8" l="1"/>
  <c r="E221" i="8" s="1"/>
  <c r="F221" i="8" s="1"/>
  <c r="E222" i="8" l="1"/>
  <c r="F222" i="8" s="1"/>
  <c r="G222" i="8" s="1"/>
  <c r="C227" i="8"/>
  <c r="G221" i="8"/>
  <c r="C228" i="8" l="1"/>
  <c r="E223" i="8"/>
  <c r="F223" i="8" s="1"/>
  <c r="C229" i="8" s="1"/>
  <c r="D227" i="8"/>
  <c r="P227" i="8" s="1"/>
  <c r="D228" i="8"/>
  <c r="P228" i="8" s="1"/>
  <c r="G223" i="8" l="1"/>
  <c r="E224" i="8"/>
  <c r="F224" i="8" s="1"/>
  <c r="C230" i="8" s="1"/>
  <c r="D229" i="8"/>
  <c r="G224" i="8" l="1"/>
  <c r="E225" i="8"/>
  <c r="F225" i="8" s="1"/>
  <c r="G225" i="8" s="1"/>
  <c r="D230" i="8"/>
  <c r="P230" i="8" s="1"/>
  <c r="P229" i="8"/>
  <c r="E226" i="8" l="1"/>
  <c r="F226" i="8" s="1"/>
  <c r="G226" i="8" s="1"/>
  <c r="C231" i="8"/>
  <c r="D231" i="8" s="1"/>
  <c r="K44" i="8" l="1"/>
  <c r="M44" i="8"/>
  <c r="C232" i="8"/>
  <c r="P231" i="8"/>
  <c r="D232" i="8"/>
  <c r="L45" i="8" s="1"/>
  <c r="P232" i="8" l="1"/>
  <c r="E227" i="8"/>
  <c r="F227" i="8" s="1"/>
  <c r="E228" i="8" l="1"/>
  <c r="F228" i="8" s="1"/>
  <c r="G228" i="8" s="1"/>
  <c r="C233" i="8"/>
  <c r="G227" i="8"/>
  <c r="C234" i="8" l="1"/>
  <c r="D234" i="8" s="1"/>
  <c r="E229" i="8"/>
  <c r="F229" i="8" s="1"/>
  <c r="G229" i="8" s="1"/>
  <c r="D233" i="8"/>
  <c r="P233" i="8" s="1"/>
  <c r="E230" i="8" l="1"/>
  <c r="F230" i="8" s="1"/>
  <c r="C235" i="8"/>
  <c r="P234" i="8"/>
  <c r="D235" i="8"/>
  <c r="P235" i="8" s="1"/>
  <c r="E231" i="8" l="1"/>
  <c r="F231" i="8" s="1"/>
  <c r="G231" i="8" s="1"/>
  <c r="G230" i="8"/>
  <c r="C236" i="8"/>
  <c r="E232" i="8" l="1"/>
  <c r="F232" i="8" s="1"/>
  <c r="M45" i="8" s="1"/>
  <c r="C237" i="8"/>
  <c r="D237" i="8"/>
  <c r="P237" i="8" s="1"/>
  <c r="D236" i="8"/>
  <c r="P236" i="8" s="1"/>
  <c r="K45" i="8" l="1"/>
  <c r="G232" i="8"/>
  <c r="C238" i="8"/>
  <c r="D238" i="8" s="1"/>
  <c r="P238" i="8" s="1"/>
  <c r="E233" i="8" s="1"/>
  <c r="L46" i="8" l="1"/>
  <c r="E234" i="8"/>
  <c r="F234" i="8" s="1"/>
  <c r="F233" i="8"/>
  <c r="E235" i="8" l="1"/>
  <c r="F235" i="8" s="1"/>
  <c r="C239" i="8"/>
  <c r="G233" i="8"/>
  <c r="C240" i="8"/>
  <c r="G234" i="8"/>
  <c r="D240" i="8" l="1"/>
  <c r="P240" i="8" s="1"/>
  <c r="D239" i="8"/>
  <c r="P239" i="8" s="1"/>
  <c r="E236" i="8"/>
  <c r="F236" i="8" s="1"/>
  <c r="G235" i="8"/>
  <c r="C241" i="8"/>
  <c r="E237" i="8" l="1"/>
  <c r="D241" i="8"/>
  <c r="C242" i="8"/>
  <c r="G236" i="8"/>
  <c r="P241" i="8" l="1"/>
  <c r="D242" i="8"/>
  <c r="P242" i="8" s="1"/>
  <c r="F237" i="8"/>
  <c r="E238" i="8"/>
  <c r="F238" i="8" s="1"/>
  <c r="M46" i="8" l="1"/>
  <c r="G238" i="8"/>
  <c r="C244" i="8"/>
  <c r="G237" i="8"/>
  <c r="C243" i="8"/>
  <c r="K46" i="8"/>
  <c r="D243" i="8" l="1"/>
  <c r="P243" i="8" s="1"/>
  <c r="D244" i="8"/>
  <c r="L47" i="8" l="1"/>
  <c r="P244" i="8"/>
  <c r="E239" i="8"/>
  <c r="E240" i="8" l="1"/>
  <c r="F240" i="8" s="1"/>
  <c r="F239" i="8"/>
  <c r="E241" i="8" l="1"/>
  <c r="F241" i="8" s="1"/>
  <c r="C245" i="8"/>
  <c r="G239" i="8"/>
  <c r="C246" i="8"/>
  <c r="G240" i="8"/>
  <c r="D246" i="8" l="1"/>
  <c r="P246" i="8" s="1"/>
  <c r="D245" i="8"/>
  <c r="P245" i="8" s="1"/>
  <c r="C247" i="8"/>
  <c r="G241" i="8"/>
  <c r="E242" i="8"/>
  <c r="F242" i="8" s="1"/>
  <c r="E243" i="8" l="1"/>
  <c r="F243" i="8" s="1"/>
  <c r="G242" i="8"/>
  <c r="C248" i="8"/>
  <c r="D247" i="8"/>
  <c r="P247" i="8" l="1"/>
  <c r="D248" i="8"/>
  <c r="P248" i="8" s="1"/>
  <c r="C249" i="8"/>
  <c r="G243" i="8"/>
  <c r="E244" i="8"/>
  <c r="F244" i="8" s="1"/>
  <c r="C250" i="8" l="1"/>
  <c r="G244" i="8"/>
  <c r="M47" i="8"/>
  <c r="K47" i="8"/>
  <c r="D249" i="8"/>
  <c r="P249" i="8" s="1"/>
  <c r="D250" i="8" l="1"/>
  <c r="L48" i="8" s="1"/>
  <c r="P250" i="8" l="1"/>
  <c r="E245" i="8" s="1"/>
  <c r="E246" i="8" s="1"/>
  <c r="E247" i="8" s="1"/>
  <c r="F247" i="8" s="1"/>
  <c r="F245" i="8" l="1"/>
  <c r="G245" i="8" s="1"/>
  <c r="G247" i="8"/>
  <c r="C253" i="8"/>
  <c r="E248" i="8"/>
  <c r="F248" i="8" s="1"/>
  <c r="C251" i="8"/>
  <c r="F246" i="8"/>
  <c r="C252" i="8" l="1"/>
  <c r="G246" i="8"/>
  <c r="D251" i="8"/>
  <c r="G248" i="8"/>
  <c r="C254" i="8"/>
  <c r="D253" i="8"/>
  <c r="P253" i="8" s="1"/>
  <c r="E249" i="8"/>
  <c r="F249" i="8" s="1"/>
  <c r="C255" i="8" l="1"/>
  <c r="G249" i="8"/>
  <c r="P251" i="8"/>
  <c r="D254" i="8"/>
  <c r="P254" i="8" s="1"/>
  <c r="D252" i="8"/>
  <c r="E250" i="8"/>
  <c r="F250" i="8" s="1"/>
  <c r="P252" i="8" l="1"/>
  <c r="D255" i="8"/>
  <c r="M48" i="8"/>
  <c r="C256" i="8"/>
  <c r="G250" i="8"/>
  <c r="K48" i="8"/>
  <c r="P255" i="8" l="1"/>
  <c r="D256" i="8"/>
  <c r="L49" i="8" s="1"/>
  <c r="P256" i="8" l="1"/>
  <c r="E251" i="8" s="1"/>
  <c r="F251" i="8" l="1"/>
  <c r="E252" i="8"/>
  <c r="F252" i="8" s="1"/>
  <c r="G252" i="8" l="1"/>
  <c r="C258" i="8"/>
  <c r="C257" i="8"/>
  <c r="G251" i="8"/>
  <c r="E253" i="8"/>
  <c r="F253" i="8" s="1"/>
  <c r="C259" i="8" l="1"/>
  <c r="G253" i="8"/>
  <c r="D257" i="8"/>
  <c r="E254" i="8"/>
  <c r="F254" i="8" s="1"/>
  <c r="D258" i="8"/>
  <c r="P258" i="8" s="1"/>
  <c r="C260" i="8" l="1"/>
  <c r="G254" i="8"/>
  <c r="P257" i="8"/>
  <c r="E255" i="8"/>
  <c r="F255" i="8" s="1"/>
  <c r="D259" i="8"/>
  <c r="P259" i="8" s="1"/>
  <c r="E256" i="8" l="1"/>
  <c r="F256" i="8" s="1"/>
  <c r="C261" i="8"/>
  <c r="G255" i="8"/>
  <c r="D260" i="8"/>
  <c r="P260" i="8" s="1"/>
  <c r="D261" i="8" l="1"/>
  <c r="M49" i="8"/>
  <c r="G256" i="8"/>
  <c r="C262" i="8"/>
  <c r="K49" i="8"/>
  <c r="P261" i="8" l="1"/>
  <c r="D262" i="8"/>
  <c r="L50" i="8" s="1"/>
  <c r="P262" i="8" l="1"/>
  <c r="E257" i="8"/>
  <c r="E258" i="8" l="1"/>
  <c r="F258" i="8" s="1"/>
  <c r="F257" i="8"/>
  <c r="G257" i="8" l="1"/>
  <c r="C263" i="8"/>
  <c r="E259" i="8"/>
  <c r="F259" i="8" s="1"/>
  <c r="G258" i="8"/>
  <c r="C264" i="8"/>
  <c r="D264" i="8" l="1"/>
  <c r="P264" i="8" s="1"/>
  <c r="C265" i="8"/>
  <c r="G259" i="8"/>
  <c r="D263" i="8"/>
  <c r="P263" i="8" s="1"/>
  <c r="E260" i="8"/>
  <c r="F260" i="8" s="1"/>
  <c r="E261" i="8" l="1"/>
  <c r="C266" i="8"/>
  <c r="G260" i="8"/>
  <c r="D265" i="8"/>
  <c r="P265" i="8" s="1"/>
  <c r="D266" i="8" l="1"/>
  <c r="F261" i="8"/>
  <c r="E262" i="8"/>
  <c r="F262" i="8" s="1"/>
  <c r="C267" i="8" l="1"/>
  <c r="G261" i="8"/>
  <c r="K50" i="8"/>
  <c r="C268" i="8"/>
  <c r="G262" i="8"/>
  <c r="M50" i="8"/>
  <c r="P266" i="8"/>
  <c r="D268" i="8" l="1"/>
  <c r="P268" i="8" s="1"/>
  <c r="D267" i="8"/>
  <c r="L51" i="8" s="1"/>
  <c r="P267" i="8" l="1"/>
  <c r="E263" i="8" s="1"/>
  <c r="E264" i="8" l="1"/>
  <c r="F264" i="8" s="1"/>
  <c r="F263" i="8"/>
  <c r="E265" i="8" l="1"/>
  <c r="F265" i="8" s="1"/>
  <c r="C269" i="8"/>
  <c r="G263" i="8"/>
  <c r="C270" i="8"/>
  <c r="G264" i="8"/>
  <c r="D270" i="8" l="1"/>
  <c r="P270" i="8" s="1"/>
  <c r="D269" i="8"/>
  <c r="P269" i="8" s="1"/>
  <c r="C271" i="8"/>
  <c r="G265" i="8"/>
  <c r="E266" i="8"/>
  <c r="F266" i="8" l="1"/>
  <c r="E267" i="8"/>
  <c r="D271" i="8"/>
  <c r="P271" i="8" s="1"/>
  <c r="F267" i="8" l="1"/>
  <c r="E268" i="8"/>
  <c r="F268" i="8" s="1"/>
  <c r="K51" i="8" s="1"/>
  <c r="G266" i="8"/>
  <c r="C272" i="8"/>
  <c r="D272" i="8" l="1"/>
  <c r="P272" i="8" s="1"/>
  <c r="M51" i="8"/>
  <c r="C274" i="8"/>
  <c r="G268" i="8"/>
  <c r="G267" i="8"/>
  <c r="C273" i="8"/>
  <c r="D274" i="8" l="1"/>
  <c r="D273" i="8"/>
  <c r="P273" i="8" s="1"/>
  <c r="P274" i="8" l="1"/>
  <c r="L52" i="8"/>
  <c r="E269" i="8"/>
  <c r="E270" i="8" s="1"/>
  <c r="F270" i="8" s="1"/>
  <c r="C276" i="8" l="1"/>
  <c r="G270" i="8"/>
  <c r="F269" i="8"/>
  <c r="E271" i="8"/>
  <c r="F271" i="8" l="1"/>
  <c r="E272" i="8"/>
  <c r="F272" i="8" s="1"/>
  <c r="G269" i="8"/>
  <c r="C275" i="8"/>
  <c r="D276" i="8"/>
  <c r="E273" i="8" l="1"/>
  <c r="F273" i="8" s="1"/>
  <c r="D275" i="8"/>
  <c r="P275" i="8" s="1"/>
  <c r="G272" i="8"/>
  <c r="C278" i="8"/>
  <c r="P276" i="8"/>
  <c r="G271" i="8"/>
  <c r="C277" i="8"/>
  <c r="D277" i="8" l="1"/>
  <c r="P277" i="8"/>
  <c r="E274" i="8"/>
  <c r="F274" i="8" s="1"/>
  <c r="D278" i="8"/>
  <c r="P278" i="8" s="1"/>
  <c r="G273" i="8"/>
  <c r="C279" i="8"/>
  <c r="D279" i="8" l="1"/>
  <c r="P279" i="8" s="1"/>
  <c r="C280" i="8"/>
  <c r="G274" i="8"/>
  <c r="M52" i="8"/>
  <c r="K52" i="8"/>
  <c r="D280" i="8" l="1"/>
  <c r="L53" i="8" s="1"/>
  <c r="P280" i="8" l="1"/>
  <c r="E275" i="8" s="1"/>
  <c r="E276" i="8" s="1"/>
  <c r="F276" i="8" s="1"/>
  <c r="F275" i="8" l="1"/>
  <c r="G275" i="8" s="1"/>
  <c r="E277" i="8"/>
  <c r="F277" i="8" s="1"/>
  <c r="C282" i="8"/>
  <c r="G276" i="8"/>
  <c r="C281" i="8" l="1"/>
  <c r="D282" i="8"/>
  <c r="P282" i="8" s="1"/>
  <c r="D281" i="8"/>
  <c r="E278" i="8"/>
  <c r="G277" i="8"/>
  <c r="C283" i="8"/>
  <c r="D283" i="8" l="1"/>
  <c r="F278" i="8"/>
  <c r="E279" i="8"/>
  <c r="F279" i="8" s="1"/>
  <c r="P281" i="8"/>
  <c r="G279" i="8" l="1"/>
  <c r="C285" i="8"/>
  <c r="C284" i="8"/>
  <c r="G278" i="8"/>
  <c r="P283" i="8"/>
  <c r="E280" i="8"/>
  <c r="F280" i="8" s="1"/>
  <c r="K53" i="8" s="1"/>
  <c r="D284" i="8" l="1"/>
  <c r="P284" i="8" s="1"/>
  <c r="D285" i="8"/>
  <c r="P285" i="8" s="1"/>
  <c r="G280" i="8"/>
  <c r="M53" i="8"/>
  <c r="C286" i="8"/>
  <c r="D286" i="8" l="1"/>
  <c r="P286" i="8" s="1"/>
  <c r="E281" i="8" s="1"/>
  <c r="L54" i="8" l="1"/>
  <c r="E282" i="8"/>
  <c r="F281" i="8"/>
  <c r="C287" i="8" l="1"/>
  <c r="G281" i="8"/>
  <c r="E283" i="8"/>
  <c r="F283" i="8" s="1"/>
  <c r="F282" i="8"/>
  <c r="E284" i="8" l="1"/>
  <c r="F284" i="8" s="1"/>
  <c r="G282" i="8"/>
  <c r="C288" i="8"/>
  <c r="C289" i="8"/>
  <c r="G283" i="8"/>
  <c r="D287" i="8"/>
  <c r="P287" i="8" s="1"/>
  <c r="D289" i="8" l="1"/>
  <c r="P289" i="8" s="1"/>
  <c r="D288" i="8"/>
  <c r="G284" i="8"/>
  <c r="C290" i="8"/>
  <c r="E285" i="8"/>
  <c r="F285" i="8" s="1"/>
  <c r="G285" i="8" l="1"/>
  <c r="C291" i="8"/>
  <c r="P288" i="8"/>
  <c r="D290" i="8"/>
  <c r="P290" i="8" s="1"/>
  <c r="E286" i="8"/>
  <c r="F286" i="8" s="1"/>
  <c r="K54" i="8" s="1"/>
  <c r="D291" i="8" l="1"/>
  <c r="P291" i="8" s="1"/>
  <c r="C292" i="8"/>
  <c r="G286" i="8"/>
  <c r="M54" i="8"/>
  <c r="D292" i="8" l="1"/>
  <c r="P292" i="8" s="1"/>
  <c r="E287" i="8" s="1"/>
  <c r="L55" i="8" l="1"/>
  <c r="F287" i="8"/>
  <c r="E288" i="8"/>
  <c r="F288" i="8" s="1"/>
  <c r="C294" i="8" l="1"/>
  <c r="G288" i="8"/>
  <c r="E289" i="8"/>
  <c r="F289" i="8" s="1"/>
  <c r="G287" i="8"/>
  <c r="C293" i="8"/>
  <c r="D293" i="8" l="1"/>
  <c r="G289" i="8"/>
  <c r="C295" i="8"/>
  <c r="D294" i="8"/>
  <c r="P294" i="8" s="1"/>
  <c r="E290" i="8"/>
  <c r="F290" i="8" s="1"/>
  <c r="D295" i="8" l="1"/>
  <c r="P295" i="8" s="1"/>
  <c r="E291" i="8"/>
  <c r="F291" i="8" s="1"/>
  <c r="C296" i="8"/>
  <c r="G290" i="8"/>
  <c r="P293" i="8"/>
  <c r="E292" i="8" l="1"/>
  <c r="F292" i="8" s="1"/>
  <c r="C297" i="8"/>
  <c r="G291" i="8"/>
  <c r="D296" i="8"/>
  <c r="P296" i="8" s="1"/>
  <c r="D297" i="8" l="1"/>
  <c r="P297" i="8" s="1"/>
  <c r="C298" i="8"/>
  <c r="M55" i="8"/>
  <c r="G292" i="8"/>
  <c r="K55" i="8"/>
  <c r="D298" i="8" l="1"/>
  <c r="L56" i="8" s="1"/>
  <c r="P298" i="8" l="1"/>
  <c r="E293" i="8" s="1"/>
  <c r="F293" i="8" s="1"/>
  <c r="E294" i="8" l="1"/>
  <c r="F294" i="8" s="1"/>
  <c r="C300" i="8" s="1"/>
  <c r="C299" i="8"/>
  <c r="G293" i="8"/>
  <c r="E295" i="8" l="1"/>
  <c r="F295" i="8" s="1"/>
  <c r="G295" i="8" s="1"/>
  <c r="G294" i="8"/>
  <c r="D299" i="8"/>
  <c r="P299" i="8" s="1"/>
  <c r="D300" i="8"/>
  <c r="P300" i="8" s="1"/>
  <c r="E296" i="8" l="1"/>
  <c r="F296" i="8" s="1"/>
  <c r="G296" i="8" s="1"/>
  <c r="C301" i="8"/>
  <c r="D301" i="8" s="1"/>
  <c r="P301" i="8" s="1"/>
  <c r="C302" i="8" l="1"/>
  <c r="E297" i="8"/>
  <c r="F297" i="8" s="1"/>
  <c r="G297" i="8" s="1"/>
  <c r="D302" i="8"/>
  <c r="C303" i="8" l="1"/>
  <c r="E298" i="8"/>
  <c r="F298" i="8" s="1"/>
  <c r="C304" i="8" s="1"/>
  <c r="D303" i="8"/>
  <c r="P303" i="8" s="1"/>
  <c r="P302" i="8"/>
  <c r="K56" i="8" l="1"/>
  <c r="M56" i="8"/>
  <c r="G298" i="8"/>
  <c r="D304" i="8"/>
  <c r="L57" i="8" s="1"/>
  <c r="P304" i="8" l="1"/>
  <c r="E299" i="8" s="1"/>
  <c r="F299" i="8" s="1"/>
  <c r="E300" i="8" l="1"/>
  <c r="F300" i="8" s="1"/>
  <c r="C306" i="8" s="1"/>
  <c r="G299" i="8"/>
  <c r="C305" i="8"/>
  <c r="G300" i="8" l="1"/>
  <c r="E301" i="8"/>
  <c r="F301" i="8" s="1"/>
  <c r="D305" i="8"/>
  <c r="D306" i="8"/>
  <c r="P306" i="8" s="1"/>
  <c r="E302" i="8" l="1"/>
  <c r="F302" i="8" s="1"/>
  <c r="C308" i="8" s="1"/>
  <c r="C307" i="8"/>
  <c r="G301" i="8"/>
  <c r="P305" i="8"/>
  <c r="E303" i="8" l="1"/>
  <c r="F303" i="8" s="1"/>
  <c r="G303" i="8" s="1"/>
  <c r="G302" i="8"/>
  <c r="D308" i="8"/>
  <c r="P308" i="8" s="1"/>
  <c r="D307" i="8"/>
  <c r="P307" i="8" s="1"/>
  <c r="C309" i="8" l="1"/>
  <c r="E304" i="8"/>
  <c r="F304" i="8" s="1"/>
  <c r="K57" i="8" s="1"/>
  <c r="D309" i="8"/>
  <c r="M57" i="8" l="1"/>
  <c r="G304" i="8"/>
  <c r="C310" i="8"/>
  <c r="D310" i="8" s="1"/>
  <c r="L58" i="8" s="1"/>
  <c r="P309" i="8"/>
  <c r="P310" i="8" l="1"/>
  <c r="E305" i="8" s="1"/>
  <c r="E306" i="8" s="1"/>
  <c r="F306" i="8" s="1"/>
  <c r="C312" i="8" l="1"/>
  <c r="D312" i="8" s="1"/>
  <c r="G306" i="8"/>
  <c r="F305" i="8"/>
  <c r="G305" i="8" s="1"/>
  <c r="E307" i="8"/>
  <c r="F307" i="8" s="1"/>
  <c r="G307" i="8" s="1"/>
  <c r="C311" i="8" l="1"/>
  <c r="D311" i="8" s="1"/>
  <c r="P311" i="8" s="1"/>
  <c r="C313" i="8"/>
  <c r="D313" i="8" s="1"/>
  <c r="P313" i="8" s="1"/>
  <c r="E308" i="8"/>
  <c r="F308" i="8" s="1"/>
  <c r="G308" i="8" s="1"/>
  <c r="P312" i="8"/>
  <c r="C314" i="8" l="1"/>
  <c r="D314" i="8" s="1"/>
  <c r="P314" i="8" s="1"/>
  <c r="E309" i="8"/>
  <c r="F309" i="8" s="1"/>
  <c r="G309" i="8" s="1"/>
  <c r="E310" i="8" l="1"/>
  <c r="F310" i="8" s="1"/>
  <c r="G310" i="8" s="1"/>
  <c r="C315" i="8"/>
  <c r="D315" i="8" s="1"/>
  <c r="P315" i="8" s="1"/>
  <c r="M58" i="8" l="1"/>
  <c r="K58" i="8"/>
  <c r="C316" i="8"/>
  <c r="D316" i="8" s="1"/>
  <c r="L59" i="8" s="1"/>
  <c r="P316" i="8" l="1"/>
  <c r="E311" i="8" s="1"/>
  <c r="E312" i="8" s="1"/>
  <c r="F312" i="8" s="1"/>
  <c r="F311" i="8" l="1"/>
  <c r="C317" i="8" s="1"/>
  <c r="E313" i="8"/>
  <c r="G312" i="8"/>
  <c r="C318" i="8"/>
  <c r="G311" i="8" l="1"/>
  <c r="D318" i="8"/>
  <c r="P318" i="8" s="1"/>
  <c r="F313" i="8"/>
  <c r="D317" i="8"/>
  <c r="E314" i="8"/>
  <c r="F314" i="8" s="1"/>
  <c r="P317" i="8" l="1"/>
  <c r="C319" i="8"/>
  <c r="G313" i="8"/>
  <c r="E315" i="8"/>
  <c r="F315" i="8" s="1"/>
  <c r="C320" i="8"/>
  <c r="G314" i="8"/>
  <c r="D320" i="8" l="1"/>
  <c r="P320" i="8" s="1"/>
  <c r="D319" i="8"/>
  <c r="P319" i="8" s="1"/>
  <c r="G315" i="8"/>
  <c r="C321" i="8"/>
  <c r="E316" i="8"/>
  <c r="F316" i="8" s="1"/>
  <c r="G316" i="8" l="1"/>
  <c r="M59" i="8"/>
  <c r="C322" i="8"/>
  <c r="D321" i="8"/>
  <c r="P321" i="8" s="1"/>
  <c r="K59" i="8"/>
  <c r="D322" i="8" l="1"/>
  <c r="P322" i="8" s="1"/>
  <c r="E317" i="8" s="1"/>
  <c r="L60" i="8" l="1"/>
  <c r="F317" i="8"/>
  <c r="E318" i="8"/>
  <c r="F318" i="8" s="1"/>
  <c r="E319" i="8" l="1"/>
  <c r="F319" i="8" s="1"/>
  <c r="C324" i="8"/>
  <c r="G318" i="8"/>
  <c r="G317" i="8"/>
  <c r="C323" i="8"/>
  <c r="D323" i="8" l="1"/>
  <c r="P323" i="8" s="1"/>
  <c r="D324" i="8"/>
  <c r="P324" i="8" s="1"/>
  <c r="E320" i="8"/>
  <c r="E321" i="8" s="1"/>
  <c r="F321" i="8" s="1"/>
  <c r="G319" i="8"/>
  <c r="C325" i="8"/>
  <c r="G321" i="8" l="1"/>
  <c r="C327" i="8"/>
  <c r="F320" i="8"/>
  <c r="E322" i="8"/>
  <c r="F322" i="8" s="1"/>
  <c r="D325" i="8"/>
  <c r="P325" i="8" s="1"/>
  <c r="M60" i="8" l="1"/>
  <c r="C328" i="8"/>
  <c r="G322" i="8"/>
  <c r="C326" i="8"/>
  <c r="G320" i="8"/>
  <c r="K60" i="8"/>
  <c r="D327" i="8"/>
  <c r="P327" i="8" s="1"/>
  <c r="D328" i="8" l="1"/>
  <c r="P328" i="8" s="1"/>
  <c r="D326" i="8"/>
  <c r="L61" i="8" l="1"/>
  <c r="P326" i="8"/>
  <c r="E323" i="8" s="1"/>
  <c r="F323" i="8" s="1"/>
  <c r="E324" i="8" l="1"/>
  <c r="F324" i="8" s="1"/>
  <c r="C330" i="8" s="1"/>
  <c r="G323" i="8"/>
  <c r="C329" i="8"/>
  <c r="G324" i="8" l="1"/>
  <c r="E325" i="8"/>
  <c r="F325" i="8" s="1"/>
  <c r="C331" i="8" s="1"/>
  <c r="D329" i="8"/>
  <c r="P329" i="8" s="1"/>
  <c r="D330" i="8"/>
  <c r="P330" i="8" s="1"/>
  <c r="G325" i="8" l="1"/>
  <c r="E326" i="8"/>
  <c r="F326" i="8" s="1"/>
  <c r="C332" i="8" s="1"/>
  <c r="D332" i="8" s="1"/>
  <c r="P332" i="8" s="1"/>
  <c r="D331" i="8"/>
  <c r="P331" i="8" s="1"/>
  <c r="G326" i="8" l="1"/>
  <c r="E327" i="8"/>
  <c r="F327" i="8" s="1"/>
  <c r="C333" i="8" s="1"/>
  <c r="D333" i="8" s="1"/>
  <c r="P333" i="8" s="1"/>
  <c r="E328" i="8" l="1"/>
  <c r="F328" i="8" s="1"/>
  <c r="K61" i="8" s="1"/>
  <c r="G327" i="8"/>
  <c r="M61" i="8" l="1"/>
  <c r="C334" i="8"/>
  <c r="D334" i="8" s="1"/>
  <c r="P334" i="8" s="1"/>
  <c r="E329" i="8" s="1"/>
  <c r="F329" i="8" s="1"/>
  <c r="G329" i="8" s="1"/>
  <c r="G328" i="8"/>
  <c r="L62" i="8"/>
  <c r="E330" i="8" l="1"/>
  <c r="E331" i="8" s="1"/>
  <c r="F331" i="8" s="1"/>
  <c r="C337" i="8" s="1"/>
  <c r="C335" i="8"/>
  <c r="D335" i="8" s="1"/>
  <c r="P335" i="8" s="1"/>
  <c r="G331" i="8" l="1"/>
  <c r="E332" i="8"/>
  <c r="F332" i="8" s="1"/>
  <c r="G332" i="8" s="1"/>
  <c r="F330" i="8"/>
  <c r="D337" i="8"/>
  <c r="P337" i="8" s="1"/>
  <c r="E333" i="8" l="1"/>
  <c r="F333" i="8" s="1"/>
  <c r="G333" i="8" s="1"/>
  <c r="C338" i="8"/>
  <c r="D338" i="8" s="1"/>
  <c r="P338" i="8" s="1"/>
  <c r="C336" i="8"/>
  <c r="G330" i="8"/>
  <c r="E334" i="8" l="1"/>
  <c r="F334" i="8" s="1"/>
  <c r="G334" i="8" s="1"/>
  <c r="C339" i="8"/>
  <c r="D339" i="8" s="1"/>
  <c r="P339" i="8" s="1"/>
  <c r="D336" i="8"/>
  <c r="P336" i="8" s="1"/>
  <c r="K62" i="8" l="1"/>
  <c r="C340" i="8"/>
  <c r="D340" i="8" s="1"/>
  <c r="L63" i="8" s="1"/>
  <c r="M62" i="8"/>
  <c r="P340" i="8" l="1"/>
  <c r="E335" i="8" s="1"/>
  <c r="F335" i="8" s="1"/>
  <c r="E336" i="8" l="1"/>
  <c r="F336" i="8" s="1"/>
  <c r="G336" i="8" s="1"/>
  <c r="G335" i="8"/>
  <c r="C341" i="8"/>
  <c r="C342" i="8" l="1"/>
  <c r="E337" i="8"/>
  <c r="F337" i="8" s="1"/>
  <c r="D341" i="8"/>
  <c r="D342" i="8"/>
  <c r="P342" i="8" s="1"/>
  <c r="E338" i="8" l="1"/>
  <c r="F338" i="8" s="1"/>
  <c r="G338" i="8" s="1"/>
  <c r="C343" i="8"/>
  <c r="G337" i="8"/>
  <c r="P341" i="8"/>
  <c r="C344" i="8" l="1"/>
  <c r="E339" i="8"/>
  <c r="F339" i="8" s="1"/>
  <c r="G339" i="8" s="1"/>
  <c r="D344" i="8"/>
  <c r="P344" i="8" s="1"/>
  <c r="D343" i="8"/>
  <c r="P343" i="8" s="1"/>
  <c r="C345" i="8" l="1"/>
  <c r="D345" i="8" s="1"/>
  <c r="P345" i="8" s="1"/>
  <c r="E340" i="8"/>
  <c r="F340" i="8" s="1"/>
  <c r="M63" i="8" s="1"/>
  <c r="K63" i="8" l="1"/>
  <c r="G340" i="8"/>
  <c r="C346" i="8"/>
  <c r="D346" i="8" s="1"/>
  <c r="L64" i="8" s="1"/>
  <c r="P346" i="8" l="1"/>
  <c r="E341" i="8" s="1"/>
  <c r="E342" i="8" s="1"/>
  <c r="F342" i="8" s="1"/>
  <c r="G342" i="8" s="1"/>
  <c r="C348" i="8" l="1"/>
  <c r="E343" i="8"/>
  <c r="F343" i="8" s="1"/>
  <c r="C349" i="8" s="1"/>
  <c r="D349" i="8" s="1"/>
  <c r="P349" i="8" s="1"/>
  <c r="F341" i="8"/>
  <c r="D348" i="8"/>
  <c r="P348" i="8" s="1"/>
  <c r="E344" i="8" l="1"/>
  <c r="F344" i="8" s="1"/>
  <c r="G344" i="8" s="1"/>
  <c r="G343" i="8"/>
  <c r="G341" i="8"/>
  <c r="C347" i="8"/>
  <c r="D347" i="8" s="1"/>
  <c r="P347" i="8" s="1"/>
  <c r="E345" i="8" l="1"/>
  <c r="F345" i="8" s="1"/>
  <c r="C350" i="8"/>
  <c r="D350" i="8" s="1"/>
  <c r="P350" i="8" s="1"/>
  <c r="E346" i="8" l="1"/>
  <c r="F346" i="8" s="1"/>
  <c r="G346" i="8" s="1"/>
  <c r="G345" i="8"/>
  <c r="C351" i="8"/>
  <c r="D351" i="8" s="1"/>
  <c r="P351" i="8" s="1"/>
  <c r="K64" i="8" l="1"/>
  <c r="C352" i="8"/>
  <c r="M64" i="8"/>
  <c r="D352" i="8"/>
  <c r="L65" i="8" s="1"/>
  <c r="P352" i="8" l="1"/>
  <c r="E347" i="8" s="1"/>
  <c r="E348" i="8" s="1"/>
  <c r="F348" i="8" s="1"/>
  <c r="F347" i="8" l="1"/>
  <c r="G347" i="8" s="1"/>
  <c r="G348" i="8"/>
  <c r="C354" i="8"/>
  <c r="D354" i="8" s="1"/>
  <c r="P354" i="8" s="1"/>
  <c r="E349" i="8"/>
  <c r="C353" i="8" l="1"/>
  <c r="F349" i="8"/>
  <c r="E350" i="8"/>
  <c r="F350" i="8" s="1"/>
  <c r="G350" i="8" s="1"/>
  <c r="D353" i="8" l="1"/>
  <c r="P353" i="8" s="1"/>
  <c r="C356" i="8"/>
  <c r="E351" i="8"/>
  <c r="C355" i="8"/>
  <c r="G349" i="8"/>
  <c r="D356" i="8"/>
  <c r="D355" i="8" l="1"/>
  <c r="P355" i="8" s="1"/>
  <c r="F351" i="8"/>
  <c r="E352" i="8"/>
  <c r="F352" i="8" s="1"/>
  <c r="P356" i="8"/>
  <c r="C358" i="8" l="1"/>
  <c r="M65" i="8"/>
  <c r="G352" i="8"/>
  <c r="C357" i="8"/>
  <c r="G351" i="8"/>
  <c r="K65" i="8"/>
  <c r="D357" i="8" l="1"/>
  <c r="P357" i="8" s="1"/>
  <c r="D358" i="8"/>
  <c r="L66" i="8" l="1"/>
  <c r="P358" i="8"/>
  <c r="E353" i="8"/>
  <c r="F353" i="8" l="1"/>
  <c r="E354" i="8"/>
  <c r="F354" i="8" s="1"/>
  <c r="E355" i="8" l="1"/>
  <c r="F355" i="8" s="1"/>
  <c r="C361" i="8" s="1"/>
  <c r="G354" i="8"/>
  <c r="C360" i="8"/>
  <c r="C359" i="8"/>
  <c r="D359" i="8" s="1"/>
  <c r="P359" i="8" s="1"/>
  <c r="G353" i="8"/>
  <c r="E356" i="8" l="1"/>
  <c r="G355" i="8"/>
  <c r="D360" i="8"/>
  <c r="P360" i="8" s="1"/>
  <c r="D361" i="8"/>
  <c r="P361" i="8" s="1"/>
  <c r="F356" i="8" l="1"/>
  <c r="E357" i="8"/>
  <c r="F357" i="8" l="1"/>
  <c r="E358" i="8"/>
  <c r="F358" i="8" s="1"/>
  <c r="C362" i="8"/>
  <c r="G356" i="8"/>
  <c r="D362" i="8" l="1"/>
  <c r="P362" i="8" s="1"/>
  <c r="G358" i="8"/>
  <c r="C364" i="8"/>
  <c r="M66" i="8"/>
  <c r="G357" i="8"/>
  <c r="C363" i="8"/>
  <c r="K66" i="8"/>
  <c r="D363" i="8" l="1"/>
  <c r="P363" i="8" s="1"/>
  <c r="D364" i="8"/>
  <c r="L67" i="8" l="1"/>
  <c r="P364" i="8"/>
  <c r="E359" i="8" s="1"/>
  <c r="E360" i="8" l="1"/>
  <c r="F360" i="8" s="1"/>
  <c r="F359" i="8"/>
  <c r="E361" i="8" l="1"/>
  <c r="F361" i="8" s="1"/>
  <c r="G361" i="8" s="1"/>
  <c r="C365" i="8"/>
  <c r="G359" i="8"/>
  <c r="G360" i="8"/>
  <c r="C366" i="8"/>
  <c r="E362" i="8" l="1"/>
  <c r="F362" i="8" s="1"/>
  <c r="G362" i="8" s="1"/>
  <c r="C367" i="8"/>
  <c r="D367" i="8" s="1"/>
  <c r="P367" i="8" s="1"/>
  <c r="D366" i="8"/>
  <c r="P366" i="8" s="1"/>
  <c r="D365" i="8"/>
  <c r="P365" i="8" s="1"/>
  <c r="E363" i="8" l="1"/>
  <c r="F363" i="8" s="1"/>
  <c r="G363" i="8" s="1"/>
  <c r="C368" i="8"/>
  <c r="D368" i="8" s="1"/>
  <c r="P368" i="8" s="1"/>
  <c r="E364" i="8" l="1"/>
  <c r="F364" i="8" s="1"/>
  <c r="C370" i="8" s="1"/>
  <c r="D370" i="8" s="1"/>
  <c r="P370" i="8" s="1"/>
  <c r="E365" i="8" s="1"/>
  <c r="F365" i="8" s="1"/>
  <c r="G365" i="8" s="1"/>
  <c r="C369" i="8"/>
  <c r="D369" i="8" s="1"/>
  <c r="P369" i="8" s="1"/>
  <c r="K67" i="8" l="1"/>
  <c r="M67" i="8"/>
  <c r="G364" i="8"/>
  <c r="E366" i="8"/>
  <c r="F366" i="8" s="1"/>
  <c r="G366" i="8" s="1"/>
  <c r="L68" i="8"/>
  <c r="C371" i="8"/>
  <c r="D371" i="8" s="1"/>
  <c r="P371" i="8" l="1"/>
  <c r="E367" i="8"/>
  <c r="F367" i="8" s="1"/>
  <c r="C373" i="8" s="1"/>
  <c r="D373" i="8" s="1"/>
  <c r="C372" i="8"/>
  <c r="D372" i="8" s="1"/>
  <c r="P372" i="8" s="1"/>
  <c r="P373" i="8" l="1"/>
  <c r="G367" i="8"/>
  <c r="E368" i="8"/>
  <c r="F368" i="8" s="1"/>
  <c r="C374" i="8" s="1"/>
  <c r="D374" i="8" s="1"/>
  <c r="P374" i="8" s="1"/>
  <c r="G368" i="8" l="1"/>
  <c r="E369" i="8"/>
  <c r="F369" i="8" s="1"/>
  <c r="C375" i="8" s="1"/>
  <c r="G369" i="8" l="1"/>
  <c r="E370" i="8"/>
  <c r="F370" i="8" s="1"/>
  <c r="M68" i="8" s="1"/>
  <c r="D375" i="8"/>
  <c r="P375" i="8" s="1"/>
  <c r="C376" i="8" l="1"/>
  <c r="D376" i="8" s="1"/>
  <c r="L69" i="8" s="1"/>
  <c r="G370" i="8"/>
  <c r="K68" i="8"/>
  <c r="P376" i="8" l="1"/>
  <c r="E371" i="8" s="1"/>
  <c r="E372" i="8" s="1"/>
  <c r="E373" i="8" s="1"/>
  <c r="F373" i="8" s="1"/>
  <c r="C379" i="8" s="1"/>
  <c r="F371" i="8" l="1"/>
  <c r="G371" i="8" s="1"/>
  <c r="G373" i="8"/>
  <c r="C377" i="8"/>
  <c r="F372" i="8"/>
  <c r="E374" i="8"/>
  <c r="D379" i="8"/>
  <c r="P379" i="8" s="1"/>
  <c r="F374" i="8" l="1"/>
  <c r="E375" i="8"/>
  <c r="F375" i="8" s="1"/>
  <c r="D377" i="8"/>
  <c r="P377" i="8" s="1"/>
  <c r="G372" i="8"/>
  <c r="C378" i="8"/>
  <c r="D378" i="8" l="1"/>
  <c r="P378" i="8" s="1"/>
  <c r="C381" i="8"/>
  <c r="G375" i="8"/>
  <c r="E376" i="8"/>
  <c r="F376" i="8" s="1"/>
  <c r="G374" i="8"/>
  <c r="C380" i="8"/>
  <c r="M69" i="8" l="1"/>
  <c r="C382" i="8"/>
  <c r="G376" i="8"/>
  <c r="D381" i="8"/>
  <c r="P381" i="8" s="1"/>
  <c r="K69" i="8"/>
  <c r="D380" i="8"/>
  <c r="P380" i="8" s="1"/>
  <c r="D382" i="8" l="1"/>
  <c r="L70" i="8" s="1"/>
  <c r="P382" i="8" l="1"/>
  <c r="E377" i="8"/>
  <c r="F377" i="8" s="1"/>
  <c r="C383" i="8" l="1"/>
  <c r="G377" i="8"/>
  <c r="E378" i="8"/>
  <c r="F378" i="8" l="1"/>
  <c r="E379" i="8"/>
  <c r="F379" i="8" s="1"/>
  <c r="D383" i="8"/>
  <c r="P383" i="8" s="1"/>
  <c r="E380" i="8" l="1"/>
  <c r="F380" i="8" s="1"/>
  <c r="G380" i="8" s="1"/>
  <c r="C385" i="8"/>
  <c r="G379" i="8"/>
  <c r="G378" i="8"/>
  <c r="C384" i="8"/>
  <c r="E381" i="8" l="1"/>
  <c r="F381" i="8" s="1"/>
  <c r="C387" i="8" s="1"/>
  <c r="C386" i="8"/>
  <c r="D386" i="8" s="1"/>
  <c r="P386" i="8" s="1"/>
  <c r="D385" i="8"/>
  <c r="D384" i="8"/>
  <c r="P384" i="8" s="1"/>
  <c r="E382" i="8" l="1"/>
  <c r="F382" i="8" s="1"/>
  <c r="G382" i="8" s="1"/>
  <c r="G381" i="8"/>
  <c r="D387" i="8"/>
  <c r="P387" i="8" s="1"/>
  <c r="P385" i="8"/>
  <c r="C388" i="8" l="1"/>
  <c r="K70" i="8"/>
  <c r="M70" i="8"/>
  <c r="D388" i="8"/>
  <c r="L71" i="8" s="1"/>
  <c r="P388" i="8" l="1"/>
  <c r="E383" i="8" s="1"/>
  <c r="F383" i="8" s="1"/>
  <c r="E384" i="8" l="1"/>
  <c r="F384" i="8" s="1"/>
  <c r="G383" i="8"/>
  <c r="C389" i="8"/>
  <c r="E385" i="8" l="1"/>
  <c r="F385" i="8" s="1"/>
  <c r="G385" i="8" s="1"/>
  <c r="D389" i="8"/>
  <c r="P389" i="8" s="1"/>
  <c r="G384" i="8"/>
  <c r="C390" i="8"/>
  <c r="E386" i="8" l="1"/>
  <c r="F386" i="8" s="1"/>
  <c r="G386" i="8" s="1"/>
  <c r="C391" i="8"/>
  <c r="D391" i="8" s="1"/>
  <c r="P391" i="8" s="1"/>
  <c r="D390" i="8"/>
  <c r="C392" i="8" l="1"/>
  <c r="D392" i="8" s="1"/>
  <c r="P392" i="8" s="1"/>
  <c r="E387" i="8"/>
  <c r="F387" i="8" s="1"/>
  <c r="C393" i="8" s="1"/>
  <c r="P390" i="8"/>
  <c r="G387" i="8" l="1"/>
  <c r="E388" i="8"/>
  <c r="F388" i="8" s="1"/>
  <c r="K71" i="8" s="1"/>
  <c r="D393" i="8"/>
  <c r="P393" i="8" s="1"/>
  <c r="C394" i="8" l="1"/>
  <c r="D394" i="8" s="1"/>
  <c r="G388" i="8"/>
  <c r="M71" i="8"/>
  <c r="P394" i="8" l="1"/>
  <c r="E389" i="8" s="1"/>
  <c r="F389" i="8" s="1"/>
  <c r="G389" i="8" s="1"/>
  <c r="B6" i="8"/>
  <c r="P6" i="8" s="1"/>
  <c r="L72" i="8"/>
  <c r="E390" i="8" l="1"/>
  <c r="F390" i="8" s="1"/>
  <c r="G390" i="8" s="1"/>
  <c r="D8" i="4"/>
  <c r="E391" i="8" l="1"/>
  <c r="F391" i="8" s="1"/>
  <c r="G391" i="8" s="1"/>
  <c r="E392" i="8" l="1"/>
  <c r="F392" i="8" s="1"/>
  <c r="G392" i="8" s="1"/>
  <c r="E393" i="8" l="1"/>
  <c r="F393" i="8" s="1"/>
  <c r="G393" i="8" s="1"/>
  <c r="E394" i="8" l="1"/>
  <c r="B7" i="8" s="1"/>
  <c r="P7" i="8" s="1"/>
  <c r="F394" i="8" l="1"/>
  <c r="M72" i="8" s="1"/>
  <c r="B5" i="8" a="1"/>
  <c r="B5" i="8" s="1"/>
  <c r="D6" i="4" s="1"/>
  <c r="D7" i="4" s="1"/>
  <c r="K72" i="8" l="1"/>
  <c r="G394" i="8"/>
  <c r="P5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<sst xmlns="http://schemas.openxmlformats.org/spreadsheetml/2006/main" count="153" uniqueCount="81">
  <si>
    <t>🧨 NJL Design Labs · Debt Snowball vs Avalanche Payoff Planner</t>
  </si>
  <si>
    <t>Your step-by-step guide to becoming debt-free — fast.</t>
  </si>
  <si>
    <t>🚀 QUICK-START GUIDE</t>
  </si>
  <si>
    <t>Step 1</t>
  </si>
  <si>
    <t>Go to the 💳 Debt Input tab and replace the sample debts with your own.</t>
  </si>
  <si>
    <t>Step 2</t>
  </si>
  <si>
    <t>Enter your Debt Name, Current Balance, Interest Rate (%), Minimum Payment, and Monthly Payment for each debt.</t>
  </si>
  <si>
    <t>Step 3</t>
  </si>
  <si>
    <t>Review the ❄️ Snowball Payoff tab — debts are attacked lowest balance first.</t>
  </si>
  <si>
    <t>Step 4</t>
  </si>
  <si>
    <t>Review the 🌊 Avalanche Payoff tab — debts are attacked highest interest rate first.</t>
  </si>
  <si>
    <t>Step 5</t>
  </si>
  <si>
    <t>Compare the two methods on the 📊 Comparison Dashboard to see which saves you more money.</t>
  </si>
  <si>
    <t>Step 6</t>
  </si>
  <si>
    <t>Use the 'What If' input on the Debt Input tab to see how adding even $50/month more accelerates your payoff.</t>
  </si>
  <si>
    <t>📑 TAB GUIDE</t>
  </si>
  <si>
    <t>Tab</t>
  </si>
  <si>
    <t>What It Does</t>
  </si>
  <si>
    <t>💳 Debt Input</t>
  </si>
  <si>
    <t>Enter or update your debts here. This is the only sheet you need to edit.</t>
  </si>
  <si>
    <t>❄️ Snowball Payoff</t>
  </si>
  <si>
    <t>Auto-calculated month-by-month plan: smallest balance attacked first.</t>
  </si>
  <si>
    <t>🌊 Avalanche Payoff</t>
  </si>
  <si>
    <t>Auto-calculated month-by-month plan: highest interest rate attacked first.</t>
  </si>
  <si>
    <t>📊 Comparison</t>
  </si>
  <si>
    <t>Side-by-side KPI cards and charts comparing both strategies.</t>
  </si>
  <si>
    <t>© NJL Design Labs · For personal use only · Not financial advice.</t>
  </si>
  <si>
    <t>Enter up to 6 debts below. Yellow cells = your inputs. Formulas auto-calculate.</t>
  </si>
  <si>
    <t>Debt Name</t>
  </si>
  <si>
    <t>Current Balance ($)</t>
  </si>
  <si>
    <t>Interest Rate (% APR)</t>
  </si>
  <si>
    <t>Minimum Payment ($)</t>
  </si>
  <si>
    <t>Monthly Payment ($)</t>
  </si>
  <si>
    <t>Annual Interest Cost ($)</t>
  </si>
  <si>
    <t>Months to Zero (min pay)</t>
  </si>
  <si>
    <t>Store Card</t>
  </si>
  <si>
    <t>Medical Bill</t>
  </si>
  <si>
    <t>Personal Loan</t>
  </si>
  <si>
    <t>Auto Loan</t>
  </si>
  <si>
    <t>Travel Card</t>
  </si>
  <si>
    <t>Rewards Visa</t>
  </si>
  <si>
    <t>TOTALS</t>
  </si>
  <si>
    <t>—</t>
  </si>
  <si>
    <t>Extra Payment (What-If)</t>
  </si>
  <si>
    <t>💡 Tip: Monthly Payment must be ≥ Minimum Payment. Interest Rate is APR stored as decimal (e.g., 0.2299 for 22.99%). Cell format displays it as 22.99%.</t>
  </si>
  <si>
    <t>❄️ Snowball Payoff Plan</t>
  </si>
  <si>
    <t>Attack your smallest balance first. Every win builds momentum.</t>
  </si>
  <si>
    <t>Month Summary</t>
  </si>
  <si>
    <t>Total Monthly Budget:</t>
  </si>
  <si>
    <t>Month #</t>
  </si>
  <si>
    <t>Remaining Balance</t>
  </si>
  <si>
    <t>Interest This Month</t>
  </si>
  <si>
    <t>Last Debt Ending</t>
  </si>
  <si>
    <t>❄️ SNOWBALL SUMMARY</t>
  </si>
  <si>
    <t>Months to Debt-Free:</t>
  </si>
  <si>
    <t>Extra Monthly Payment:</t>
  </si>
  <si>
    <t>Total Interest Paid:</t>
  </si>
  <si>
    <t>New Months to Debt-Free:</t>
  </si>
  <si>
    <t>Total Amount Paid:</t>
  </si>
  <si>
    <t>Months Saved:</t>
  </si>
  <si>
    <t>Additional Interest Saved:</t>
  </si>
  <si>
    <t>📊 Payoff Engine — Month-by-Month Detail</t>
  </si>
  <si>
    <t>Starting Balance</t>
  </si>
  <si>
    <t>Payment Made</t>
  </si>
  <si>
    <t>Ending Balance</t>
  </si>
  <si>
    <t>Status</t>
  </si>
  <si>
    <t>Notes / Milestone</t>
  </si>
  <si>
    <t>🌊 Avalanche Payoff Plan</t>
  </si>
  <si>
    <t>Attack your highest interest rate first. Minimize the total interest you pay.</t>
  </si>
  <si>
    <t>🌊 AVALANCHE SUMMARY</t>
  </si>
  <si>
    <t>📊 Snowball vs Avalanche Comparison</t>
  </si>
  <si>
    <t>See at a glance which payoff method saves more time and money.</t>
  </si>
  <si>
    <t>Method</t>
  </si>
  <si>
    <t>Interest Paid</t>
  </si>
  <si>
    <t>Snowball</t>
  </si>
  <si>
    <t>Avalanche</t>
  </si>
  <si>
    <t>Month</t>
  </si>
  <si>
    <t>Snowball Remaining</t>
  </si>
  <si>
    <t>Avalanche Remaining</t>
  </si>
  <si>
    <t>Extra Payment (What-If):</t>
  </si>
  <si>
    <t>Total Budget + Extra: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</si>
</sst>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\$#,##0.00"/>
    <numFmt numFmtId="165" formatCode="_(&quot;$&quot;* #,##0_);_(&quot;$&quot;* \(#,##0\);_(&quot;$&quot;* &quot;-&quot;??_);_(@_)"/>
  </numFmts>
  <fonts count="26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</font>
    <font>
      <b/>
      <sz val="13"/>
      <color rgb="FF1B2A4A"/>
      <name val="Calibri"/>
      <family val="2"/>
    </font>
    <font>
      <b/>
      <sz val="11"/>
      <color rgb="FF2EC4B6"/>
      <name val="Calibri"/>
      <family val="2"/>
    </font>
    <font>
      <sz val="11"/>
      <color rgb="FF1B2A4A"/>
      <name val="Calibri"/>
      <family val="2"/>
    </font>
    <font>
      <b/>
      <sz val="11"/>
      <color rgb="FFFFFFFF"/>
      <name val="Calibri"/>
      <family val="2"/>
    </font>
    <font>
      <b/>
      <sz val="11"/>
      <color rgb="FF1B2A4A"/>
      <name val="Calibri"/>
      <family val="2"/>
    </font>
    <font>
      <i/>
      <sz val="10"/>
      <color rgb="FF8A9BB0"/>
      <name val="Calibri"/>
      <family val="2"/>
    </font>
    <font>
      <b/>
      <sz val="12"/>
      <color rgb="FFFFFFFF"/>
      <name val="Calibri"/>
      <family val="2"/>
    </font>
    <font>
      <b/>
      <sz val="14"/>
      <color rgb="FFFFFFFF"/>
      <name val="Calibri"/>
      <family val="2"/>
    </font>
    <font>
      <b/>
      <sz val="14"/>
      <color rgb="FF1B2A4A"/>
      <name val="Calibri"/>
      <family val="2"/>
    </font>
    <font>
      <b/>
      <sz val="13"/>
      <color rgb="FFFFFFFF"/>
      <name val="Calibri"/>
      <family val="2"/>
    </font>
    <font>
      <b/>
      <sz val="14"/>
      <color rgb="FF52B788"/>
      <name val="Calibri"/>
      <family val="2"/>
    </font>
    <font>
      <b/>
      <sz val="10"/>
      <color rgb="FFFFFFFF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</font>
    <font>
      <b/>
      <sz val="10"/>
      <color theme="0"/>
      <name val="Calibri"/>
      <family val="2"/>
    </font>
    <font>
      <sz val="18"/>
      <color theme="1"/>
      <name val="Calibri"/>
      <family val="2"/>
      <scheme val="minor"/>
    </font>
    <font>
      <b/>
      <i/>
      <sz val="10"/>
      <color rgb="FF8A9BB0"/>
      <name val="Calibri"/>
      <family val="2"/>
    </font>
    <font>
      <b/>
      <sz val="14"/>
      <color theme="1" tint="0.249977111117893"/>
      <name val="Calibri"/>
      <family val="2"/>
    </font>
    <font>
      <b/>
      <sz val="14"/>
      <color theme="1" tint="0.249977111117893"/>
      <name val="Calibri"/>
      <family val="2"/>
      <scheme val="minor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1B2A4A"/>
      </patternFill>
    </fill>
    <fill>
      <patternFill patternType="solid">
        <fgColor rgb="FF2EC4B6"/>
      </patternFill>
    </fill>
    <fill>
      <patternFill patternType="solid">
        <fgColor rgb="FFF0F4F8"/>
      </patternFill>
    </fill>
    <fill>
      <patternFill patternType="solid">
        <fgColor rgb="FFFFFFFF"/>
      </patternFill>
    </fill>
    <fill>
      <patternFill patternType="solid">
        <fgColor rgb="FFFFF9C4"/>
      </patternFill>
    </fill>
    <fill>
      <patternFill patternType="solid">
        <fgColor rgb="FF52B788"/>
      </patternFill>
    </fill>
    <fill>
      <patternFill patternType="solid">
        <fgColor rgb="FFF4A261"/>
      </patternFill>
    </fill>
    <fill>
      <patternFill patternType="solid">
        <fgColor rgb="FFFFF3E0"/>
      </patternFill>
    </fill>
    <fill>
      <patternFill patternType="solid">
        <fgColor rgb="FFE6394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2EC4B6"/>
      </bottom>
      <diagonal/>
    </border>
    <border>
      <left/>
      <right/>
      <top style="thin">
        <color rgb="FF8A9BB0"/>
      </top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8A9BB0"/>
      </top>
      <bottom/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indexed="64"/>
      </right>
      <top style="thin">
        <color rgb="FFAAAAAA"/>
      </top>
      <bottom style="thin">
        <color rgb="FFAAAAAA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115">
    <xf numFmtId="0" fontId="0" fillId="0" borderId="0" xfId="0"/>
    <xf numFmtId="0" fontId="2" fillId="0" borderId="1" xfId="0" applyFont="1" applyBorder="1"/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6" fillId="4" borderId="0" xfId="0" applyFont="1" applyFill="1"/>
    <xf numFmtId="0" fontId="4" fillId="4" borderId="0" xfId="0" applyFont="1" applyFill="1" applyAlignment="1">
      <alignment horizontal="left" vertical="center" wrapText="1"/>
    </xf>
    <xf numFmtId="0" fontId="6" fillId="5" borderId="0" xfId="0" applyFont="1" applyFill="1"/>
    <xf numFmtId="0" fontId="4" fillId="5" borderId="0" xfId="0" applyFont="1" applyFill="1" applyAlignment="1">
      <alignment horizontal="left" vertical="center" wrapText="1"/>
    </xf>
    <xf numFmtId="0" fontId="4" fillId="6" borderId="0" xfId="0" applyFont="1" applyFill="1" applyAlignment="1" applyProtection="1">
      <alignment horizontal="left" vertical="center" wrapText="1"/>
      <protection locked="0"/>
    </xf>
    <xf numFmtId="164" fontId="4" fillId="5" borderId="0" xfId="0" applyNumberFormat="1" applyFont="1" applyFill="1" applyAlignment="1">
      <alignment horizontal="center" vertical="center" wrapText="1"/>
    </xf>
    <xf numFmtId="1" fontId="4" fillId="5" borderId="0" xfId="0" applyNumberFormat="1" applyFont="1" applyFill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 wrapText="1"/>
    </xf>
    <xf numFmtId="1" fontId="4" fillId="4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10" fontId="5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left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left" vertical="center" wrapText="1"/>
    </xf>
    <xf numFmtId="1" fontId="4" fillId="5" borderId="2" xfId="0" applyNumberFormat="1" applyFont="1" applyFill="1" applyBorder="1" applyAlignment="1">
      <alignment horizontal="center" vertical="center" wrapText="1"/>
    </xf>
    <xf numFmtId="1" fontId="5" fillId="7" borderId="2" xfId="0" applyNumberFormat="1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left" vertical="center" wrapText="1"/>
    </xf>
    <xf numFmtId="164" fontId="5" fillId="7" borderId="0" xfId="0" applyNumberFormat="1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0" fillId="7" borderId="0" xfId="0" applyFill="1" applyAlignment="1">
      <alignment horizontal="left" vertical="center" wrapText="1"/>
    </xf>
    <xf numFmtId="1" fontId="10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6" fillId="9" borderId="0" xfId="0" applyFont="1" applyFill="1" applyAlignment="1">
      <alignment horizontal="right" vertical="center"/>
    </xf>
    <xf numFmtId="164" fontId="6" fillId="9" borderId="0" xfId="0" applyNumberFormat="1" applyFont="1" applyFill="1" applyAlignment="1">
      <alignment horizontal="center" vertical="center" wrapText="1"/>
    </xf>
    <xf numFmtId="1" fontId="12" fillId="9" borderId="0" xfId="0" applyNumberFormat="1" applyFont="1" applyFill="1" applyAlignment="1">
      <alignment horizontal="center" vertical="center" wrapText="1"/>
    </xf>
    <xf numFmtId="164" fontId="12" fillId="9" borderId="0" xfId="0" applyNumberFormat="1" applyFont="1" applyFill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0" fontId="14" fillId="6" borderId="0" xfId="0" applyNumberFormat="1" applyFont="1" applyFill="1" applyAlignment="1" applyProtection="1">
      <alignment horizontal="center" vertical="center" wrapText="1"/>
      <protection locked="0"/>
    </xf>
    <xf numFmtId="165" fontId="4" fillId="6" borderId="0" xfId="1" applyNumberFormat="1" applyFont="1" applyFill="1" applyAlignment="1" applyProtection="1">
      <alignment horizontal="left" vertical="center" wrapText="1"/>
      <protection locked="0"/>
    </xf>
    <xf numFmtId="165" fontId="4" fillId="5" borderId="0" xfId="1" applyNumberFormat="1" applyFont="1" applyFill="1" applyAlignment="1">
      <alignment horizontal="left" vertical="center" wrapText="1"/>
    </xf>
    <xf numFmtId="165" fontId="4" fillId="4" borderId="0" xfId="1" applyNumberFormat="1" applyFont="1" applyFill="1" applyAlignment="1">
      <alignment horizontal="left" vertical="center" wrapText="1"/>
    </xf>
    <xf numFmtId="165" fontId="4" fillId="6" borderId="0" xfId="1" applyNumberFormat="1" applyFont="1" applyFill="1" applyAlignment="1" applyProtection="1">
      <alignment horizontal="center" vertical="center" wrapText="1"/>
      <protection locked="0"/>
    </xf>
    <xf numFmtId="164" fontId="6" fillId="11" borderId="0" xfId="0" applyNumberFormat="1" applyFont="1" applyFill="1" applyAlignment="1" applyProtection="1">
      <alignment horizontal="center" vertical="center" wrapText="1"/>
      <protection locked="0"/>
    </xf>
    <xf numFmtId="44" fontId="6" fillId="11" borderId="0" xfId="1" applyFont="1" applyFill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>
      <alignment horizontal="center" vertical="center" wrapText="1"/>
    </xf>
    <xf numFmtId="1" fontId="4" fillId="5" borderId="9" xfId="0" applyNumberFormat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1" fontId="4" fillId="4" borderId="10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1" fontId="4" fillId="5" borderId="1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1" fontId="4" fillId="4" borderId="2" xfId="0" applyNumberFormat="1" applyFont="1" applyFill="1" applyBorder="1" applyAlignment="1">
      <alignment horizontal="left" vertical="center" wrapText="1"/>
    </xf>
    <xf numFmtId="1" fontId="4" fillId="5" borderId="2" xfId="0" applyNumberFormat="1" applyFont="1" applyFill="1" applyBorder="1" applyAlignment="1">
      <alignment horizontal="left" vertical="center" wrapText="1"/>
    </xf>
    <xf numFmtId="1" fontId="5" fillId="7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10" fillId="0" borderId="0" xfId="0" applyNumberFormat="1" applyFont="1" applyAlignment="1">
      <alignment horizontal="left" vertical="center" wrapText="1"/>
    </xf>
    <xf numFmtId="164" fontId="10" fillId="0" borderId="0" xfId="0" applyNumberFormat="1" applyFont="1" applyAlignment="1">
      <alignment horizontal="left" vertical="center" wrapText="1"/>
    </xf>
    <xf numFmtId="44" fontId="6" fillId="0" borderId="0" xfId="1" applyFont="1" applyAlignment="1">
      <alignment horizontal="center" vertical="center" wrapText="1"/>
    </xf>
    <xf numFmtId="44" fontId="4" fillId="5" borderId="0" xfId="1" applyFont="1" applyFill="1" applyAlignment="1">
      <alignment horizontal="center" vertical="center" wrapText="1"/>
    </xf>
    <xf numFmtId="44" fontId="4" fillId="4" borderId="2" xfId="1" applyFont="1" applyFill="1" applyBorder="1" applyAlignment="1">
      <alignment horizontal="center" vertical="center" wrapText="1"/>
    </xf>
    <xf numFmtId="44" fontId="4" fillId="4" borderId="0" xfId="1" applyFont="1" applyFill="1" applyAlignment="1">
      <alignment horizontal="center" vertical="center" wrapText="1"/>
    </xf>
    <xf numFmtId="44" fontId="4" fillId="5" borderId="2" xfId="1" applyFont="1" applyFill="1" applyBorder="1" applyAlignment="1">
      <alignment horizontal="center" vertical="center" wrapText="1"/>
    </xf>
    <xf numFmtId="44" fontId="5" fillId="7" borderId="2" xfId="1" applyFont="1" applyFill="1" applyBorder="1" applyAlignment="1">
      <alignment horizontal="center" vertical="center" wrapText="1"/>
    </xf>
    <xf numFmtId="44" fontId="5" fillId="7" borderId="0" xfId="1" applyFont="1" applyFill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6" fillId="12" borderId="0" xfId="0" applyFont="1" applyFill="1" applyAlignment="1">
      <alignment horizontal="right" vertical="center"/>
    </xf>
    <xf numFmtId="164" fontId="12" fillId="12" borderId="0" xfId="0" applyNumberFormat="1" applyFont="1" applyFill="1" applyAlignment="1">
      <alignment horizontal="center" vertical="center" wrapText="1"/>
    </xf>
    <xf numFmtId="164" fontId="6" fillId="12" borderId="0" xfId="0" applyNumberFormat="1" applyFont="1" applyFill="1" applyAlignment="1">
      <alignment horizontal="center" vertical="center" wrapText="1"/>
    </xf>
    <xf numFmtId="0" fontId="0" fillId="12" borderId="0" xfId="0" applyFill="1"/>
    <xf numFmtId="1" fontId="12" fillId="12" borderId="0" xfId="0" applyNumberFormat="1" applyFont="1" applyFill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9" xfId="0" applyBorder="1"/>
    <xf numFmtId="0" fontId="13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6" fillId="12" borderId="0" xfId="0" applyNumberFormat="1" applyFont="1" applyFill="1" applyAlignment="1">
      <alignment horizontal="left" vertical="center" wrapText="1"/>
    </xf>
    <xf numFmtId="1" fontId="12" fillId="12" borderId="0" xfId="0" applyNumberFormat="1" applyFont="1" applyFill="1" applyAlignment="1">
      <alignment horizontal="left" vertical="center" wrapText="1"/>
    </xf>
    <xf numFmtId="164" fontId="12" fillId="12" borderId="0" xfId="0" applyNumberFormat="1" applyFont="1" applyFill="1" applyAlignment="1">
      <alignment horizontal="left" vertical="center" wrapText="1"/>
    </xf>
    <xf numFmtId="164" fontId="19" fillId="12" borderId="0" xfId="0" applyNumberFormat="1" applyFont="1" applyFill="1" applyAlignment="1">
      <alignment horizontal="center" vertical="center" wrapText="1"/>
    </xf>
    <xf numFmtId="44" fontId="6" fillId="12" borderId="0" xfId="1" applyFont="1" applyFill="1" applyAlignment="1" applyProtection="1">
      <alignment horizontal="center" vertical="center" wrapText="1"/>
      <protection locked="0"/>
    </xf>
    <xf numFmtId="164" fontId="19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4" fontId="20" fillId="0" borderId="0" xfId="0" applyNumberFormat="1" applyFont="1" applyAlignment="1">
      <alignment horizontal="center" vertical="center" wrapText="1"/>
    </xf>
    <xf numFmtId="0" fontId="25" fillId="11" borderId="0" xfId="0" applyFont="1" applyFill="1"/>
    <xf numFmtId="44" fontId="15" fillId="11" borderId="0" xfId="1" applyFont="1" applyFill="1"/>
    <xf numFmtId="0" fontId="8" fillId="2" borderId="0" xfId="0" applyFont="1" applyFill="1" applyAlignment="1">
      <alignment horizontal="center" vertical="center" wrapText="1"/>
    </xf>
    <xf numFmtId="0" fontId="0" fillId="0" borderId="0" xfId="0"/>
    <xf numFmtId="0" fontId="7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6" fillId="0" borderId="0" xfId="0" applyFont="1"/>
    <xf numFmtId="0" fontId="6" fillId="0" borderId="0" xfId="0" applyFont="1" applyAlignment="1">
      <alignment horizontal="center" vertical="center"/>
    </xf>
    <xf numFmtId="0" fontId="1" fillId="8" borderId="9" xfId="0" applyFont="1" applyFill="1" applyBorder="1" applyAlignment="1">
      <alignment horizontal="center" vertical="center" wrapText="1"/>
    </xf>
    <xf numFmtId="0" fontId="21" fillId="0" borderId="0" xfId="0" applyFont="1"/>
    <xf numFmtId="1" fontId="1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2" borderId="3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12" borderId="0" xfId="0" applyFont="1" applyFill="1" applyAlignment="1">
      <alignment horizontal="center" vertical="center" wrapText="1"/>
    </xf>
    <xf numFmtId="0" fontId="0" fillId="0" borderId="0" xfId="0" applyAlignment="1"/>
    <xf numFmtId="0" fontId="24" fillId="0" borderId="0" xfId="0" applyFont="1" applyAlignment="1"/>
  </cellXfs>
  <cellStyles count="2">
    <cellStyle name="Currency" xfId="1" builtinId="4"/>
    <cellStyle name="Normal" xfId="0" builtinId="0"/>
  </cellStyles>
  <dxfs count="13">
    <dxf>
      <font>
        <color rgb="FFFFFFFF"/>
      </font>
    </dxf>
    <dxf>
      <fill>
        <patternFill patternType="solid">
          <fgColor rgb="FFC6EFCE"/>
        </patternFill>
      </fill>
    </dxf>
    <dxf>
      <font>
        <color rgb="FFFFFFFF"/>
      </font>
    </dxf>
    <dxf>
      <font>
        <color rgb="FFFFFFFF"/>
      </font>
    </dxf>
    <dxf>
      <fill>
        <patternFill patternType="solid">
          <fgColor indexed="64"/>
          <bgColor rgb="FF52B788"/>
        </patternFill>
      </fill>
    </dxf>
    <dxf>
      <font>
        <color rgb="FFFFFFFF"/>
      </font>
    </dxf>
    <dxf>
      <fill>
        <patternFill patternType="solid">
          <fgColor rgb="FFC6EFCE"/>
        </patternFill>
      </fill>
    </dxf>
    <dxf>
      <font>
        <color rgb="FFFFFFFF"/>
      </font>
    </dxf>
    <dxf>
      <font>
        <color rgb="FFFFFFFF"/>
      </font>
    </dxf>
    <dxf>
      <fill>
        <patternFill patternType="solid">
          <fgColor indexed="64"/>
          <bgColor rgb="FF52B788"/>
        </patternFill>
      </fill>
    </dxf>
    <dxf>
      <font>
        <sz val="11"/>
      </font>
      <fill>
        <patternFill patternType="solid">
          <fgColor rgb="FF52B788"/>
        </patternFill>
      </fill>
    </dxf>
    <dxf>
      <font>
        <sz val="11"/>
        <color rgb="FF1B2A4A"/>
        <name val="Calibri"/>
      </font>
      <fill>
        <patternFill patternType="solid">
          <fgColor rgb="FFF4A261"/>
        </patternFill>
      </fill>
    </dxf>
    <dxf>
      <font>
        <sz val="11"/>
      </font>
      <fill>
        <patternFill patternType="solid">
          <fgColor rgb="FFE6394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Total Interest Paid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'📊 Comparison'!$K$5</c:f>
              <c:strCache>
                <c:ptCount val="1"/>
                <c:pt idx="0">
                  <c:v>Interest Paid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'📊 Comparison'!$J$6:$J$7</c:f>
              <c:strCache>
                <c:ptCount val="2"/>
                <c:pt idx="0">
                  <c:v>Snowball</c:v>
                </c:pt>
                <c:pt idx="1">
                  <c:v>Avalanche</c:v>
                </c:pt>
              </c:strCache>
            </c:strRef>
          </c:cat>
          <c:val>
            <c:numRef>
              <c:f>'📊 Comparison'!$K$6:$K$7</c:f>
              <c:numCache>
                <c:formatCode>\$#,##0.00</c:formatCode>
                <c:ptCount val="2"/>
                <c:pt idx="0">
                  <c:v>31418.020000000008</c:v>
                </c:pt>
                <c:pt idx="1">
                  <c:v>28926.920000000002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54-4C00-AD11-EC68C4843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alpha val="20000"/>
                </a:schemeClr>
              </a:solidFill>
            </a:ln>
          </c:spPr>
        </c:majorGridlines>
        <c:numFmt formatCode="\$#,##0.00" sourceLinked="1"/>
        <c:majorTickMark val="out"/>
        <c:minorTickMark val="none"/>
        <c:tickLblPos val="nextTo"/>
        <c:crossAx val="1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Debt Remaining Over Time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'📊 Comparison'!$B$9</c:f>
              <c:strCache>
                <c:ptCount val="1"/>
                <c:pt idx="0">
                  <c:v>Snowball Remaining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'📊 Comparison'!$A$10:$A$73</c:f>
              <c:numCache>
                <c:formatCode>General</c:formatCode>
                <c:ptCount val="6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</c:numCache>
            </c:numRef>
          </c:cat>
          <c:val>
            <c:numRef>
              <c:f>'📊 Comparison'!$B$10:$B$73</c:f>
              <c:numCache>
                <c:formatCode>\$#,##0.00</c:formatCode>
                <c:ptCount val="64"/>
                <c:pt idx="0">
                  <c:v>30722.5</c:v>
                </c:pt>
                <c:pt idx="1">
                  <c:v>30442.02</c:v>
                </c:pt>
                <c:pt idx="2">
                  <c:v>30158.5</c:v>
                </c:pt>
                <c:pt idx="3">
                  <c:v>29871.919999999998</c:v>
                </c:pt>
                <c:pt idx="4">
                  <c:v>29582.25</c:v>
                </c:pt>
                <c:pt idx="5">
                  <c:v>29289.440000000002</c:v>
                </c:pt>
                <c:pt idx="6">
                  <c:v>28993.45</c:v>
                </c:pt>
                <c:pt idx="7">
                  <c:v>28694.239999999998</c:v>
                </c:pt>
                <c:pt idx="8">
                  <c:v>28391.760000000002</c:v>
                </c:pt>
                <c:pt idx="9">
                  <c:v>28085.98</c:v>
                </c:pt>
                <c:pt idx="10">
                  <c:v>27776.86</c:v>
                </c:pt>
                <c:pt idx="11">
                  <c:v>27464.36</c:v>
                </c:pt>
                <c:pt idx="12">
                  <c:v>27148.43</c:v>
                </c:pt>
                <c:pt idx="13">
                  <c:v>26829.02</c:v>
                </c:pt>
                <c:pt idx="14">
                  <c:v>26506.09</c:v>
                </c:pt>
                <c:pt idx="15">
                  <c:v>26179.599999999999</c:v>
                </c:pt>
                <c:pt idx="16">
                  <c:v>25849.510000000002</c:v>
                </c:pt>
                <c:pt idx="17">
                  <c:v>25515.760000000002</c:v>
                </c:pt>
                <c:pt idx="18">
                  <c:v>25178.32</c:v>
                </c:pt>
                <c:pt idx="19">
                  <c:v>24837.119999999999</c:v>
                </c:pt>
                <c:pt idx="20">
                  <c:v>24492.129999999997</c:v>
                </c:pt>
                <c:pt idx="21">
                  <c:v>24143.29</c:v>
                </c:pt>
                <c:pt idx="22">
                  <c:v>23790.510000000002</c:v>
                </c:pt>
                <c:pt idx="23">
                  <c:v>23433.760000000002</c:v>
                </c:pt>
                <c:pt idx="24">
                  <c:v>23072.97</c:v>
                </c:pt>
                <c:pt idx="25">
                  <c:v>22708.09</c:v>
                </c:pt>
                <c:pt idx="26">
                  <c:v>22339.06</c:v>
                </c:pt>
                <c:pt idx="27">
                  <c:v>21965.85</c:v>
                </c:pt>
                <c:pt idx="28">
                  <c:v>21588.400000000001</c:v>
                </c:pt>
                <c:pt idx="29">
                  <c:v>21206.639999999999</c:v>
                </c:pt>
                <c:pt idx="30">
                  <c:v>20820.52</c:v>
                </c:pt>
                <c:pt idx="31">
                  <c:v>20430</c:v>
                </c:pt>
                <c:pt idx="32">
                  <c:v>20035.009999999998</c:v>
                </c:pt>
                <c:pt idx="33">
                  <c:v>19635.5</c:v>
                </c:pt>
                <c:pt idx="34">
                  <c:v>19231.260000000002</c:v>
                </c:pt>
                <c:pt idx="35">
                  <c:v>18822.16</c:v>
                </c:pt>
                <c:pt idx="36">
                  <c:v>18408.13</c:v>
                </c:pt>
                <c:pt idx="37">
                  <c:v>17989.12</c:v>
                </c:pt>
                <c:pt idx="38">
                  <c:v>17563.96</c:v>
                </c:pt>
                <c:pt idx="39">
                  <c:v>17132.419999999998</c:v>
                </c:pt>
                <c:pt idx="40">
                  <c:v>16694.41</c:v>
                </c:pt>
                <c:pt idx="41">
                  <c:v>16249.83</c:v>
                </c:pt>
                <c:pt idx="42">
                  <c:v>15798.58</c:v>
                </c:pt>
                <c:pt idx="43">
                  <c:v>15337.54</c:v>
                </c:pt>
                <c:pt idx="44">
                  <c:v>14862.67</c:v>
                </c:pt>
                <c:pt idx="45">
                  <c:v>14373.55</c:v>
                </c:pt>
                <c:pt idx="46">
                  <c:v>13869.76</c:v>
                </c:pt>
                <c:pt idx="47">
                  <c:v>13350.85</c:v>
                </c:pt>
                <c:pt idx="48">
                  <c:v>12816.38</c:v>
                </c:pt>
                <c:pt idx="49">
                  <c:v>12265.87</c:v>
                </c:pt>
                <c:pt idx="50">
                  <c:v>11698.85</c:v>
                </c:pt>
                <c:pt idx="51">
                  <c:v>11114.82</c:v>
                </c:pt>
                <c:pt idx="52">
                  <c:v>10513.26</c:v>
                </c:pt>
                <c:pt idx="53">
                  <c:v>9893.66</c:v>
                </c:pt>
                <c:pt idx="54">
                  <c:v>9255.4699999999993</c:v>
                </c:pt>
                <c:pt idx="55">
                  <c:v>8598.1299999999992</c:v>
                </c:pt>
                <c:pt idx="56">
                  <c:v>7921.07</c:v>
                </c:pt>
                <c:pt idx="57">
                  <c:v>7223.7</c:v>
                </c:pt>
                <c:pt idx="58">
                  <c:v>6505.41</c:v>
                </c:pt>
                <c:pt idx="59">
                  <c:v>5765.57</c:v>
                </c:pt>
                <c:pt idx="60">
                  <c:v>5003.54</c:v>
                </c:pt>
                <c:pt idx="61">
                  <c:v>4218.6499999999996</c:v>
                </c:pt>
                <c:pt idx="62">
                  <c:v>3410.21</c:v>
                </c:pt>
                <c:pt idx="63">
                  <c:v>2552.52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71E-48B0-87B6-0B238E9FD76A}"/>
            </c:ext>
          </c:extLst>
        </c:ser>
        <c:ser>
          <c:idx val="1"/>
          <c:order val="1"/>
          <c:tx>
            <c:strRef>
              <c:f>'📊 Comparison'!$C$9</c:f>
              <c:strCache>
                <c:ptCount val="1"/>
                <c:pt idx="0">
                  <c:v>Avalanche Remaining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'📊 Comparison'!$A$10:$A$73</c:f>
              <c:numCache>
                <c:formatCode>General</c:formatCode>
                <c:ptCount val="6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</c:numCache>
            </c:numRef>
          </c:cat>
          <c:val>
            <c:numRef>
              <c:f>'📊 Comparison'!$C$10:$C$73</c:f>
              <c:numCache>
                <c:formatCode>\$#,##0.00</c:formatCode>
                <c:ptCount val="64"/>
                <c:pt idx="0">
                  <c:v>30898</c:v>
                </c:pt>
                <c:pt idx="1">
                  <c:v>30592.959999999995</c:v>
                </c:pt>
                <c:pt idx="2">
                  <c:v>30284.82</c:v>
                </c:pt>
                <c:pt idx="3">
                  <c:v>29973.56</c:v>
                </c:pt>
                <c:pt idx="4">
                  <c:v>29659.14</c:v>
                </c:pt>
                <c:pt idx="5">
                  <c:v>29341.520000000004</c:v>
                </c:pt>
                <c:pt idx="6">
                  <c:v>29020.66</c:v>
                </c:pt>
                <c:pt idx="7">
                  <c:v>28696.52</c:v>
                </c:pt>
                <c:pt idx="8">
                  <c:v>28369.05</c:v>
                </c:pt>
                <c:pt idx="9">
                  <c:v>28037.59</c:v>
                </c:pt>
                <c:pt idx="10">
                  <c:v>27702.02</c:v>
                </c:pt>
                <c:pt idx="11">
                  <c:v>27362.270000000004</c:v>
                </c:pt>
                <c:pt idx="12">
                  <c:v>27018.28</c:v>
                </c:pt>
                <c:pt idx="13">
                  <c:v>26669.969999999998</c:v>
                </c:pt>
                <c:pt idx="14">
                  <c:v>26317.27</c:v>
                </c:pt>
                <c:pt idx="15">
                  <c:v>25960.12</c:v>
                </c:pt>
                <c:pt idx="16">
                  <c:v>25598.45</c:v>
                </c:pt>
                <c:pt idx="17">
                  <c:v>25232.17</c:v>
                </c:pt>
                <c:pt idx="18">
                  <c:v>24861.22</c:v>
                </c:pt>
                <c:pt idx="19">
                  <c:v>24485.51</c:v>
                </c:pt>
                <c:pt idx="20">
                  <c:v>24104.969999999998</c:v>
                </c:pt>
                <c:pt idx="21">
                  <c:v>23719.350000000002</c:v>
                </c:pt>
                <c:pt idx="22">
                  <c:v>23328.06</c:v>
                </c:pt>
                <c:pt idx="23">
                  <c:v>22931.01</c:v>
                </c:pt>
                <c:pt idx="24">
                  <c:v>22528.080000000002</c:v>
                </c:pt>
                <c:pt idx="25">
                  <c:v>22119.16</c:v>
                </c:pt>
                <c:pt idx="26">
                  <c:v>21704.14</c:v>
                </c:pt>
                <c:pt idx="27">
                  <c:v>21282.92</c:v>
                </c:pt>
                <c:pt idx="28">
                  <c:v>20855.37</c:v>
                </c:pt>
                <c:pt idx="29">
                  <c:v>20421.359999999997</c:v>
                </c:pt>
                <c:pt idx="30">
                  <c:v>19980.769999999997</c:v>
                </c:pt>
                <c:pt idx="31">
                  <c:v>19533.500000000004</c:v>
                </c:pt>
                <c:pt idx="32">
                  <c:v>19079.39</c:v>
                </c:pt>
                <c:pt idx="33">
                  <c:v>18618.330000000002</c:v>
                </c:pt>
                <c:pt idx="34">
                  <c:v>18150.159999999996</c:v>
                </c:pt>
                <c:pt idx="35">
                  <c:v>17674.759999999998</c:v>
                </c:pt>
                <c:pt idx="36">
                  <c:v>17192</c:v>
                </c:pt>
                <c:pt idx="37">
                  <c:v>16701.71</c:v>
                </c:pt>
                <c:pt idx="38">
                  <c:v>16203.75</c:v>
                </c:pt>
                <c:pt idx="39">
                  <c:v>15697.98</c:v>
                </c:pt>
                <c:pt idx="40">
                  <c:v>15182.19</c:v>
                </c:pt>
                <c:pt idx="41">
                  <c:v>14655.59</c:v>
                </c:pt>
                <c:pt idx="42">
                  <c:v>14117.560000000001</c:v>
                </c:pt>
                <c:pt idx="43">
                  <c:v>13567.16</c:v>
                </c:pt>
                <c:pt idx="44">
                  <c:v>13004.09</c:v>
                </c:pt>
                <c:pt idx="45">
                  <c:v>12428.029999999999</c:v>
                </c:pt>
                <c:pt idx="46">
                  <c:v>11838.64</c:v>
                </c:pt>
                <c:pt idx="47">
                  <c:v>11233.8</c:v>
                </c:pt>
                <c:pt idx="48">
                  <c:v>10610.81</c:v>
                </c:pt>
                <c:pt idx="49">
                  <c:v>9969.1299999999992</c:v>
                </c:pt>
                <c:pt idx="50">
                  <c:v>9308.2000000000007</c:v>
                </c:pt>
                <c:pt idx="51">
                  <c:v>8627.4500000000007</c:v>
                </c:pt>
                <c:pt idx="52">
                  <c:v>7926.27</c:v>
                </c:pt>
                <c:pt idx="53">
                  <c:v>7204.06</c:v>
                </c:pt>
                <c:pt idx="54">
                  <c:v>6460.18</c:v>
                </c:pt>
                <c:pt idx="55">
                  <c:v>5693.99</c:v>
                </c:pt>
                <c:pt idx="56">
                  <c:v>4904.8100000000004</c:v>
                </c:pt>
                <c:pt idx="57">
                  <c:v>4091.95</c:v>
                </c:pt>
                <c:pt idx="58">
                  <c:v>3254.71</c:v>
                </c:pt>
                <c:pt idx="59">
                  <c:v>2392.35</c:v>
                </c:pt>
                <c:pt idx="60">
                  <c:v>1504.12</c:v>
                </c:pt>
                <c:pt idx="61">
                  <c:v>589.24</c:v>
                </c:pt>
                <c:pt idx="62">
                  <c:v>0</c:v>
                </c:pt>
                <c:pt idx="6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71E-48B0-87B6-0B238E9FD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dateAx>
        <c:axId val="1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"/>
        <c:crosses val="autoZero"/>
        <c:auto val="0"/>
        <c:lblOffset val="100"/>
        <c:baseTimeUnit val="days"/>
      </c:dateAx>
      <c:valAx>
        <c:axId val="100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chemeClr val="accent1">
                  <a:alpha val="20000"/>
                </a:schemeClr>
              </a:solidFill>
            </a:ln>
          </c:spPr>
        </c:majorGridlines>
        <c:numFmt formatCode="\$#,##0.00" sourceLinked="1"/>
        <c:majorTickMark val="out"/>
        <c:minorTickMark val="none"/>
        <c:tickLblPos val="nextTo"/>
        <c:crossAx val="1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888512</xdr:colOff>
      <xdr:row>1</xdr:row>
      <xdr:rowOff>2251</xdr:rowOff>
    </xdr:to>
    <xdr:pic>
      <xdr:nvPicPr>
        <xdr:cNvPr id="2" name="Picture 1" descr="NJL_logo.png">
          <a:extLst>
            <a:ext uri="{FF2B5EF4-FFF2-40B4-BE49-F238E27FC236}">
              <a16:creationId xmlns:a16="http://schemas.microsoft.com/office/drawing/2014/main" id="{866487AE-DD94-4538-9F7A-55A89622C0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580" t="21766" r="19628" b="30883"/>
        <a:stretch>
          <a:fillRect/>
        </a:stretch>
      </xdr:blipFill>
      <xdr:spPr>
        <a:xfrm>
          <a:off x="0" y="0"/>
          <a:ext cx="888512" cy="3832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888512</xdr:colOff>
      <xdr:row>1</xdr:row>
      <xdr:rowOff>2251</xdr:rowOff>
    </xdr:to>
    <xdr:pic>
      <xdr:nvPicPr>
        <xdr:cNvPr id="2" name="Picture 1" descr="NJL_logo.png">
          <a:extLst>
            <a:ext uri="{FF2B5EF4-FFF2-40B4-BE49-F238E27FC236}">
              <a16:creationId xmlns:a16="http://schemas.microsoft.com/office/drawing/2014/main" id="{4FB5344E-E822-4C8C-99A9-9A60FD4EAE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580" t="21766" r="19628" b="30883"/>
        <a:stretch>
          <a:fillRect/>
        </a:stretch>
      </xdr:blipFill>
      <xdr:spPr>
        <a:xfrm>
          <a:off x="0" y="0"/>
          <a:ext cx="888512" cy="3832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888512</xdr:colOff>
      <xdr:row>0</xdr:row>
      <xdr:rowOff>380076</xdr:rowOff>
    </xdr:to>
    <xdr:pic>
      <xdr:nvPicPr>
        <xdr:cNvPr id="2" name="Picture 1" descr="NJL_logo.png">
          <a:extLst>
            <a:ext uri="{FF2B5EF4-FFF2-40B4-BE49-F238E27FC236}">
              <a16:creationId xmlns:a16="http://schemas.microsoft.com/office/drawing/2014/main" id="{CCEC3E6D-729B-4998-A74F-375B6CB3A8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580" t="21766" r="19628" b="30883"/>
        <a:stretch>
          <a:fillRect/>
        </a:stretch>
      </xdr:blipFill>
      <xdr:spPr>
        <a:xfrm>
          <a:off x="0" y="0"/>
          <a:ext cx="888512" cy="3800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888512</xdr:colOff>
      <xdr:row>0</xdr:row>
      <xdr:rowOff>380076</xdr:rowOff>
    </xdr:to>
    <xdr:pic>
      <xdr:nvPicPr>
        <xdr:cNvPr id="2" name="Picture 1" descr="NJL_logo.png">
          <a:extLst>
            <a:ext uri="{FF2B5EF4-FFF2-40B4-BE49-F238E27FC236}">
              <a16:creationId xmlns:a16="http://schemas.microsoft.com/office/drawing/2014/main" id="{9827037B-C831-4380-8940-A8D8245F28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580" t="21766" r="19628" b="30883"/>
        <a:stretch>
          <a:fillRect/>
        </a:stretch>
      </xdr:blipFill>
      <xdr:spPr>
        <a:xfrm>
          <a:off x="0" y="0"/>
          <a:ext cx="888512" cy="3800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657224</xdr:colOff>
      <xdr:row>8</xdr:row>
      <xdr:rowOff>44450</xdr:rowOff>
    </xdr:from>
    <xdr:ext cx="3397775" cy="26974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6</xdr:col>
      <xdr:colOff>1025525</xdr:colOff>
      <xdr:row>8</xdr:row>
      <xdr:rowOff>44450</xdr:rowOff>
    </xdr:from>
    <xdr:ext cx="5220000" cy="270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twoCellAnchor>
    <xdr:from>
      <xdr:col>0</xdr:col>
      <xdr:colOff>0</xdr:colOff>
      <xdr:row>0</xdr:row>
      <xdr:rowOff>0</xdr:rowOff>
    </xdr:from>
    <xdr:to>
      <xdr:col>0</xdr:col>
      <xdr:colOff>888512</xdr:colOff>
      <xdr:row>1</xdr:row>
      <xdr:rowOff>2251</xdr:rowOff>
    </xdr:to>
    <xdr:pic>
      <xdr:nvPicPr>
        <xdr:cNvPr id="4" name="Picture 3" descr="NJL_logo.png">
          <a:extLst>
            <a:ext uri="{FF2B5EF4-FFF2-40B4-BE49-F238E27FC236}">
              <a16:creationId xmlns:a16="http://schemas.microsoft.com/office/drawing/2014/main" id="{E0B8B546-BEAE-4CB4-9E4D-D82905BD6E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580" t="21766" r="19628" b="30883"/>
        <a:stretch>
          <a:fillRect/>
        </a:stretch>
      </xdr:blipFill>
      <xdr:spPr>
        <a:xfrm>
          <a:off x="0" y="0"/>
          <a:ext cx="888512" cy="383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2A4A"/>
  </sheetPr>
  <dimension ref="A1:G18"/>
  <sheetViews>
    <sheetView showGridLines="0" tabSelected="1" workbookViewId="0">
      <pane ySplit="1" topLeftCell="A2" activePane="bottomLeft" state="frozen"/>
      <selection pane="bottomLeft" activeCell="E14" sqref="E14"/>
    </sheetView>
  </sheetViews>
  <sheetFormatPr defaultRowHeight="14.5" x14ac:dyDescent="0.35"/>
  <cols>
    <col min="1" max="1" width="25.54296875" bestFit="1" customWidth="1"/>
    <col min="2" max="2" width="80" customWidth="1"/>
    <col min="3" max="7" width="10" customWidth="1"/>
  </cols>
  <sheetData>
    <row r="1" spans="1:7" ht="30" customHeight="1" x14ac:dyDescent="0.35">
      <c r="A1" s="92" t="s">
        <v>0</v>
      </c>
      <c r="B1" s="92"/>
      <c r="C1" s="113"/>
      <c r="D1" s="113"/>
      <c r="E1" s="113"/>
      <c r="F1" s="113"/>
      <c r="G1" s="113"/>
    </row>
    <row r="2" spans="1:7" ht="18" customHeight="1" x14ac:dyDescent="0.45">
      <c r="A2" s="96" t="s">
        <v>1</v>
      </c>
      <c r="B2" s="96"/>
      <c r="C2" s="114"/>
      <c r="D2" s="114"/>
      <c r="E2" s="114"/>
      <c r="F2" s="114"/>
      <c r="G2" s="114"/>
    </row>
    <row r="3" spans="1:7" ht="20.149999999999999" customHeight="1" x14ac:dyDescent="0.4">
      <c r="A3" s="1" t="s">
        <v>2</v>
      </c>
    </row>
    <row r="4" spans="1:7" ht="32.5" customHeight="1" x14ac:dyDescent="0.35">
      <c r="A4" s="2" t="s">
        <v>3</v>
      </c>
      <c r="B4" s="3" t="s">
        <v>4</v>
      </c>
    </row>
    <row r="5" spans="1:7" ht="32.5" customHeight="1" x14ac:dyDescent="0.35">
      <c r="A5" s="2" t="s">
        <v>5</v>
      </c>
      <c r="B5" s="3" t="s">
        <v>6</v>
      </c>
    </row>
    <row r="6" spans="1:7" ht="32.5" customHeight="1" x14ac:dyDescent="0.35">
      <c r="A6" s="2" t="s">
        <v>7</v>
      </c>
      <c r="B6" s="3" t="s">
        <v>8</v>
      </c>
    </row>
    <row r="7" spans="1:7" ht="32.5" customHeight="1" x14ac:dyDescent="0.35">
      <c r="A7" s="2" t="s">
        <v>9</v>
      </c>
      <c r="B7" s="3" t="s">
        <v>10</v>
      </c>
    </row>
    <row r="8" spans="1:7" ht="32.5" customHeight="1" x14ac:dyDescent="0.35">
      <c r="A8" s="2" t="s">
        <v>11</v>
      </c>
      <c r="B8" s="3" t="s">
        <v>12</v>
      </c>
    </row>
    <row r="9" spans="1:7" ht="32.5" customHeight="1" x14ac:dyDescent="0.35">
      <c r="A9" s="2" t="s">
        <v>13</v>
      </c>
      <c r="B9" s="3" t="s">
        <v>14</v>
      </c>
    </row>
    <row r="10" spans="1:7" ht="10" customHeight="1" x14ac:dyDescent="0.35"/>
    <row r="11" spans="1:7" ht="20.149999999999999" customHeight="1" x14ac:dyDescent="0.4">
      <c r="A11" s="1" t="s">
        <v>15</v>
      </c>
    </row>
    <row r="12" spans="1:7" ht="20.149999999999999" customHeight="1" x14ac:dyDescent="0.35">
      <c r="A12" s="4" t="s">
        <v>16</v>
      </c>
      <c r="B12" s="4" t="s">
        <v>17</v>
      </c>
    </row>
    <row r="13" spans="1:7" ht="32.5" customHeight="1" x14ac:dyDescent="0.35">
      <c r="A13" s="5" t="s">
        <v>18</v>
      </c>
      <c r="B13" s="6" t="s">
        <v>19</v>
      </c>
    </row>
    <row r="14" spans="1:7" ht="32.5" customHeight="1" x14ac:dyDescent="0.35">
      <c r="A14" s="7" t="s">
        <v>20</v>
      </c>
      <c r="B14" s="8" t="s">
        <v>21</v>
      </c>
    </row>
    <row r="15" spans="1:7" ht="32.5" customHeight="1" x14ac:dyDescent="0.35">
      <c r="A15" s="5" t="s">
        <v>22</v>
      </c>
      <c r="B15" s="6" t="s">
        <v>23</v>
      </c>
    </row>
    <row r="16" spans="1:7" ht="32.5" customHeight="1" x14ac:dyDescent="0.35">
      <c r="A16" s="7" t="s">
        <v>24</v>
      </c>
      <c r="B16" s="8" t="s">
        <v>25</v>
      </c>
    </row>
    <row r="17" spans="1:7" ht="10" customHeight="1" x14ac:dyDescent="0.35"/>
    <row r="18" spans="1:7" ht="18" customHeight="1" x14ac:dyDescent="0.35">
      <c r="A18" s="95" t="s">
        <v>26</v>
      </c>
      <c r="B18" s="90"/>
      <c r="C18" s="90"/>
      <c r="D18" s="90"/>
      <c r="E18" s="90"/>
      <c r="F18" s="90"/>
      <c r="G18" s="90"/>
    </row>
  </sheetData>
  <mergeCells count="3">
    <mergeCell ref="A18:G18"/>
    <mergeCell ref="A1:B1"/>
    <mergeCell ref="A2:B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C4B6"/>
    <pageSetUpPr fitToPage="1"/>
  </sheetPr>
  <dimension ref="A1:G12"/>
  <sheetViews>
    <sheetView workbookViewId="0">
      <pane ySplit="3" topLeftCell="A4" activePane="bottomLeft" state="frozen"/>
      <selection pane="bottomLeft" activeCell="B14" sqref="B14"/>
    </sheetView>
  </sheetViews>
  <sheetFormatPr defaultRowHeight="14.5" x14ac:dyDescent="0.35"/>
  <cols>
    <col min="1" max="1" width="24" bestFit="1" customWidth="1"/>
    <col min="2" max="2" width="18" customWidth="1"/>
    <col min="3" max="5" width="20" customWidth="1"/>
    <col min="6" max="6" width="22" customWidth="1"/>
    <col min="7" max="7" width="24" customWidth="1"/>
  </cols>
  <sheetData>
    <row r="1" spans="1:7" ht="30" customHeight="1" x14ac:dyDescent="0.35">
      <c r="A1" s="92" t="s">
        <v>18</v>
      </c>
      <c r="B1" s="90"/>
      <c r="C1" s="90"/>
      <c r="D1" s="90"/>
      <c r="E1" s="90"/>
      <c r="F1" s="90"/>
      <c r="G1" s="90"/>
    </row>
    <row r="2" spans="1:7" ht="18" customHeight="1" x14ac:dyDescent="0.35">
      <c r="A2" s="97" t="s">
        <v>27</v>
      </c>
      <c r="B2" s="98"/>
      <c r="C2" s="98"/>
      <c r="D2" s="98"/>
      <c r="E2" s="98"/>
      <c r="F2" s="98"/>
      <c r="G2" s="98"/>
    </row>
    <row r="3" spans="1:7" ht="20.149999999999999" customHeight="1" x14ac:dyDescent="0.35">
      <c r="A3" s="4" t="s">
        <v>28</v>
      </c>
      <c r="B3" s="4" t="s">
        <v>29</v>
      </c>
      <c r="C3" s="4" t="s">
        <v>30</v>
      </c>
      <c r="D3" s="4" t="s">
        <v>31</v>
      </c>
      <c r="E3" s="4" t="s">
        <v>32</v>
      </c>
      <c r="F3" s="4" t="s">
        <v>33</v>
      </c>
      <c r="G3" s="4" t="s">
        <v>34</v>
      </c>
    </row>
    <row r="4" spans="1:7" ht="18" customHeight="1" x14ac:dyDescent="0.35">
      <c r="A4" s="9" t="s">
        <v>35</v>
      </c>
      <c r="B4" s="42">
        <v>200</v>
      </c>
      <c r="C4" s="38">
        <v>0.03</v>
      </c>
      <c r="D4" s="39">
        <v>25</v>
      </c>
      <c r="E4" s="39">
        <v>25</v>
      </c>
      <c r="F4" s="40">
        <f t="shared" ref="F4:F9" si="0">IF(B4="","",B4*C4)</f>
        <v>6</v>
      </c>
      <c r="G4" s="11">
        <f t="shared" ref="G4:G9" si="1">IF(B4="","",IF(C4=0,CEILING(B4/D4,1),IF(D4&lt;=B4*(C4/12),"∞",CEILING(-LOG(1-(B4*(C4/12)/D4))/LOG(1+(C4/12)),1))))</f>
        <v>9</v>
      </c>
    </row>
    <row r="5" spans="1:7" ht="18" customHeight="1" x14ac:dyDescent="0.35">
      <c r="A5" s="9" t="s">
        <v>36</v>
      </c>
      <c r="B5" s="42">
        <v>500</v>
      </c>
      <c r="C5" s="38">
        <v>0.04</v>
      </c>
      <c r="D5" s="39">
        <v>25</v>
      </c>
      <c r="E5" s="39">
        <v>25</v>
      </c>
      <c r="F5" s="41">
        <f t="shared" si="0"/>
        <v>20</v>
      </c>
      <c r="G5" s="13">
        <f t="shared" si="1"/>
        <v>21</v>
      </c>
    </row>
    <row r="6" spans="1:7" ht="18" customHeight="1" x14ac:dyDescent="0.35">
      <c r="A6" s="9" t="s">
        <v>37</v>
      </c>
      <c r="B6" s="42">
        <v>1500</v>
      </c>
      <c r="C6" s="38">
        <v>0.06</v>
      </c>
      <c r="D6" s="39">
        <v>40</v>
      </c>
      <c r="E6" s="39">
        <v>40</v>
      </c>
      <c r="F6" s="40">
        <f t="shared" si="0"/>
        <v>90</v>
      </c>
      <c r="G6" s="11">
        <f t="shared" si="1"/>
        <v>42</v>
      </c>
    </row>
    <row r="7" spans="1:7" ht="18" customHeight="1" x14ac:dyDescent="0.35">
      <c r="A7" s="9" t="s">
        <v>38</v>
      </c>
      <c r="B7" s="42">
        <v>4000</v>
      </c>
      <c r="C7" s="38">
        <v>0.1</v>
      </c>
      <c r="D7" s="39">
        <v>120</v>
      </c>
      <c r="E7" s="39">
        <v>120</v>
      </c>
      <c r="F7" s="41">
        <f t="shared" si="0"/>
        <v>400</v>
      </c>
      <c r="G7" s="13">
        <f t="shared" si="1"/>
        <v>40</v>
      </c>
    </row>
    <row r="8" spans="1:7" ht="18" customHeight="1" x14ac:dyDescent="0.35">
      <c r="A8" s="9" t="s">
        <v>39</v>
      </c>
      <c r="B8" s="42">
        <v>9000</v>
      </c>
      <c r="C8" s="38">
        <v>0.18</v>
      </c>
      <c r="D8" s="39">
        <v>270</v>
      </c>
      <c r="E8" s="39">
        <v>270</v>
      </c>
      <c r="F8" s="40">
        <f t="shared" si="0"/>
        <v>1620</v>
      </c>
      <c r="G8" s="11">
        <f t="shared" si="1"/>
        <v>47</v>
      </c>
    </row>
    <row r="9" spans="1:7" ht="18" customHeight="1" x14ac:dyDescent="0.35">
      <c r="A9" s="9" t="s">
        <v>40</v>
      </c>
      <c r="B9" s="42">
        <v>16000</v>
      </c>
      <c r="C9" s="38">
        <v>0.36</v>
      </c>
      <c r="D9" s="39">
        <v>480</v>
      </c>
      <c r="E9" s="39">
        <v>480</v>
      </c>
      <c r="F9" s="41">
        <f t="shared" si="0"/>
        <v>5760</v>
      </c>
      <c r="G9" s="13" t="str">
        <f t="shared" si="1"/>
        <v>∞</v>
      </c>
    </row>
    <row r="10" spans="1:7" ht="20.149999999999999" customHeight="1" x14ac:dyDescent="0.35">
      <c r="A10" s="14" t="s">
        <v>41</v>
      </c>
      <c r="B10" s="15">
        <f>SUM(B4:B9)</f>
        <v>31200</v>
      </c>
      <c r="C10" s="16">
        <f>IF(SUM(B4:B9)=0,"",SUMPRODUCT(B4:B9,C4:C9)/SUM(B4:B9))</f>
        <v>0.25307692307692309</v>
      </c>
      <c r="D10" s="15">
        <f>SUM(D4:D9)</f>
        <v>960</v>
      </c>
      <c r="E10" s="15">
        <f>SUM(E4:E9)</f>
        <v>960</v>
      </c>
      <c r="F10" s="15">
        <f>SUM(F4:F9)</f>
        <v>7896</v>
      </c>
      <c r="G10" s="14" t="s">
        <v>42</v>
      </c>
    </row>
    <row r="11" spans="1:7" ht="20.5" customHeight="1" x14ac:dyDescent="0.35">
      <c r="A11" s="87" t="s">
        <v>43</v>
      </c>
      <c r="B11" s="88">
        <v>50</v>
      </c>
    </row>
    <row r="12" spans="1:7" ht="18" customHeight="1" x14ac:dyDescent="0.35">
      <c r="A12" s="97" t="s">
        <v>44</v>
      </c>
      <c r="B12" s="98"/>
      <c r="C12" s="98"/>
      <c r="D12" s="98"/>
      <c r="E12" s="98"/>
      <c r="F12" s="98"/>
      <c r="G12" s="98"/>
    </row>
  </sheetData>
  <mergeCells count="3">
    <mergeCell ref="A12:G12"/>
    <mergeCell ref="A2:G2"/>
    <mergeCell ref="A1:G1"/>
  </mergeCells>
  <conditionalFormatting sqref="C4:C9">
    <cfRule type="expression" dxfId="12" priority="1">
      <formula>C4&gt;=0.15</formula>
    </cfRule>
    <cfRule type="expression" dxfId="11" priority="2">
      <formula>AND(C4&gt;=0.05,C4&lt;0.15)</formula>
    </cfRule>
    <cfRule type="expression" dxfId="10" priority="3">
      <formula>AND(C4&lt;0.05,C4&lt;&gt;"")</formula>
    </cfRule>
  </conditionalFormatting>
  <pageMargins left="0.75" right="0.75" top="1" bottom="1" header="0.5" footer="0.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4A261"/>
    <pageSetUpPr fitToPage="1"/>
  </sheetPr>
  <dimension ref="A1:M395"/>
  <sheetViews>
    <sheetView workbookViewId="0">
      <pane ySplit="10" topLeftCell="A11" activePane="bottomLeft" state="frozen"/>
      <selection pane="bottomLeft" activeCell="C4" sqref="C4:E4"/>
    </sheetView>
  </sheetViews>
  <sheetFormatPr defaultRowHeight="14.5" x14ac:dyDescent="0.35"/>
  <cols>
    <col min="1" max="1" width="24" bestFit="1" customWidth="1"/>
    <col min="2" max="2" width="22" style="57" customWidth="1"/>
    <col min="3" max="3" width="24" bestFit="1" customWidth="1"/>
    <col min="4" max="4" width="20" customWidth="1"/>
    <col min="5" max="7" width="18" customWidth="1"/>
    <col min="8" max="8" width="26" customWidth="1"/>
    <col min="9" max="9" width="0" hidden="1" customWidth="1"/>
    <col min="10" max="13" width="13" hidden="1" customWidth="1"/>
  </cols>
  <sheetData>
    <row r="1" spans="1:13" ht="30" customHeight="1" x14ac:dyDescent="0.35">
      <c r="A1" s="92" t="s">
        <v>45</v>
      </c>
      <c r="B1" s="90"/>
      <c r="C1" s="90"/>
      <c r="D1" s="90"/>
      <c r="E1" s="90"/>
      <c r="F1" s="90"/>
      <c r="G1" s="90"/>
      <c r="H1" s="90"/>
    </row>
    <row r="2" spans="1:13" ht="18" customHeight="1" x14ac:dyDescent="0.35">
      <c r="A2" s="91" t="s">
        <v>46</v>
      </c>
      <c r="B2" s="90"/>
      <c r="C2" s="90"/>
      <c r="D2" s="90"/>
      <c r="E2" s="90"/>
      <c r="F2" s="90"/>
      <c r="G2" s="90"/>
      <c r="H2" s="90"/>
      <c r="J2" t="s">
        <v>47</v>
      </c>
    </row>
    <row r="3" spans="1:13" ht="22" customHeight="1" x14ac:dyDescent="0.35">
      <c r="A3" s="17" t="s">
        <v>48</v>
      </c>
      <c r="B3" s="18">
        <f>'💳 Debt Input'!$E$10</f>
        <v>960</v>
      </c>
      <c r="C3" s="69"/>
      <c r="D3" s="83"/>
      <c r="E3" s="69"/>
      <c r="F3" s="84">
        <f>B3+D3</f>
        <v>960</v>
      </c>
      <c r="J3" t="s">
        <v>49</v>
      </c>
      <c r="K3" t="s">
        <v>50</v>
      </c>
      <c r="L3" t="s">
        <v>51</v>
      </c>
      <c r="M3" t="s">
        <v>52</v>
      </c>
    </row>
    <row r="4" spans="1:13" ht="24" customHeight="1" x14ac:dyDescent="0.35">
      <c r="A4" s="93" t="s">
        <v>53</v>
      </c>
      <c r="B4" s="93"/>
      <c r="C4" s="94" t="str">
        <f>"💡 WHAT IF YOU PAID $"&amp;TEXT('💳 Debt Input'!B11,"#,##0")&amp;" MORE PER MONTH?"</f>
        <v>💡 WHAT IF YOU PAID $50 MORE PER MONTH?</v>
      </c>
      <c r="D4" s="94"/>
      <c r="E4" s="94"/>
    </row>
    <row r="5" spans="1:13" ht="22" customHeight="1" x14ac:dyDescent="0.35">
      <c r="A5" s="17" t="s">
        <v>54</v>
      </c>
      <c r="B5" s="30" cm="1">
        <f t="array" aca="1" ref="B5" ca="1">IFERROR(ROUNDUP((MAX(_xlfn._xlws.FILTER(ROW('❄️ Snowball Payoff'!E11:E1200), '❄️ Snowball Payoff'!E11:E1200&gt;0)) - 5) / 6, 0), 0)</f>
        <v>65</v>
      </c>
      <c r="C5" s="32" t="s">
        <v>55</v>
      </c>
      <c r="D5" s="33">
        <f>'💳 Debt Input'!B11</f>
        <v>50</v>
      </c>
    </row>
    <row r="6" spans="1:13" ht="22" customHeight="1" x14ac:dyDescent="0.35">
      <c r="A6" s="17" t="s">
        <v>56</v>
      </c>
      <c r="B6" s="31">
        <f ca="1">SUM(D11:D1200)</f>
        <v>31418.020000000008</v>
      </c>
      <c r="C6" s="32" t="s">
        <v>57</v>
      </c>
      <c r="D6" s="34">
        <f ca="1">'Snowball WhatIf Calc'!B5</f>
        <v>62</v>
      </c>
    </row>
    <row r="7" spans="1:13" ht="22" customHeight="1" x14ac:dyDescent="0.35">
      <c r="A7" s="17" t="s">
        <v>58</v>
      </c>
      <c r="B7" s="31">
        <f ca="1">SUM(E11:E1200)</f>
        <v>60065.5</v>
      </c>
      <c r="C7" s="32" t="s">
        <v>59</v>
      </c>
      <c r="D7" s="34">
        <f ca="1">B5-D6</f>
        <v>3</v>
      </c>
    </row>
    <row r="8" spans="1:13" ht="20.149999999999999" customHeight="1" x14ac:dyDescent="0.35">
      <c r="C8" s="32" t="s">
        <v>60</v>
      </c>
      <c r="D8" s="35">
        <f ca="1">B6-'Snowball WhatIf Calc'!B6</f>
        <v>3182.8100000000049</v>
      </c>
    </row>
    <row r="9" spans="1:13" ht="20.149999999999999" customHeight="1" x14ac:dyDescent="0.35">
      <c r="A9" s="89" t="s">
        <v>61</v>
      </c>
      <c r="B9" s="90"/>
      <c r="C9" s="90"/>
      <c r="D9" s="90"/>
      <c r="E9" s="90"/>
      <c r="F9" s="90"/>
      <c r="G9" s="90"/>
      <c r="H9" s="90"/>
      <c r="J9">
        <v>1</v>
      </c>
      <c r="K9">
        <f ca="1">SUM(F11:F16)</f>
        <v>30722.5</v>
      </c>
      <c r="L9">
        <f>SUM(D11:D16)</f>
        <v>658</v>
      </c>
      <c r="M9">
        <f ca="1">F16</f>
        <v>16000</v>
      </c>
    </row>
    <row r="10" spans="1:13" ht="20.149999999999999" customHeight="1" x14ac:dyDescent="0.35">
      <c r="A10" s="45" t="s">
        <v>49</v>
      </c>
      <c r="B10" s="53" t="s">
        <v>28</v>
      </c>
      <c r="C10" s="4" t="s">
        <v>62</v>
      </c>
      <c r="D10" s="4" t="s">
        <v>51</v>
      </c>
      <c r="E10" s="4" t="s">
        <v>63</v>
      </c>
      <c r="F10" s="4" t="s">
        <v>64</v>
      </c>
      <c r="G10" s="4" t="s">
        <v>65</v>
      </c>
      <c r="H10" s="4" t="s">
        <v>66</v>
      </c>
      <c r="J10">
        <v>2</v>
      </c>
      <c r="K10">
        <f ca="1">SUM(F17:F22)</f>
        <v>30442.02</v>
      </c>
      <c r="L10">
        <f ca="1">SUM(D17:D22)</f>
        <v>654.52</v>
      </c>
      <c r="M10">
        <f ca="1">F22</f>
        <v>16000</v>
      </c>
    </row>
    <row r="11" spans="1:13" ht="18" customHeight="1" x14ac:dyDescent="0.35">
      <c r="A11" s="46">
        <v>1</v>
      </c>
      <c r="B11" s="8" t="str" cm="1">
        <f t="array" ref="B11:B16">_xlfn.SORTBY(_xlfn._xlws.FILTER('💳 Debt Input'!$A$4:$A$9, '💳 Debt Input'!$B$4:$B$9&gt;0), _xlfn._xlws.FILTER('💳 Debt Input'!$C$4:$C$9, '💳 Debt Input'!$B$4:$B$9&gt;0))</f>
        <v>Store Card</v>
      </c>
      <c r="C11" s="61">
        <f>IF(B11="","", VLOOKUP(B11, '💳 Debt Input'!$A$4:$G$9, 2, FALSE))</f>
        <v>200</v>
      </c>
      <c r="D11" s="61">
        <f>IF(B11="","", ROUND(C11 * (VLOOKUP(B11, '💳 Debt Input'!$A$4:$G$9, 3, FALSE) / 12), 2))</f>
        <v>0.5</v>
      </c>
      <c r="E11" s="61" cm="1">
        <f t="array" aca="1" ref="E11" ca="1">IF(B11="","", ROUND(MIN(C11+D11, MAX(VLOOKUP(B11,'💳 Debt Input'!$A$4:$G$9,4,FALSE), $F$3 - IFERROR(SUM(OFFSET(E11, -MOD(ROW()-6, 6), 0, MOD(ROW()-6, 6))), 0) - IFERROR(SUM(SUMIF('💳 Debt Input'!$A$4:$A$9, OFFSET(B11, 1, 0, 5-MOD(ROW()-6, 6)), '💳 Debt Input'!$D$4:$D$9)), 0))), 2))</f>
        <v>200.5</v>
      </c>
      <c r="F11" s="61">
        <f ca="1">IF(B11="","", C11 + D11 - E11)</f>
        <v>0</v>
      </c>
      <c r="G11" s="19" t="str">
        <f t="shared" ref="G11:G22" ca="1" si="0">IF(F11=0,"Paid off","Active")</f>
        <v>Paid off</v>
      </c>
      <c r="H11" s="20"/>
      <c r="J11">
        <v>3</v>
      </c>
      <c r="K11">
        <f ca="1">SUM(F23:F28)</f>
        <v>30158.5</v>
      </c>
      <c r="L11">
        <f ca="1">SUM(D23:D28)</f>
        <v>651.48</v>
      </c>
      <c r="M11">
        <f ca="1">F28</f>
        <v>16000</v>
      </c>
    </row>
    <row r="12" spans="1:13" ht="18" customHeight="1" x14ac:dyDescent="0.35">
      <c r="A12" s="47"/>
      <c r="B12" s="8" t="str">
        <v>Medical Bill</v>
      </c>
      <c r="C12" s="61">
        <f>IF(B12="","", VLOOKUP(B12, '💳 Debt Input'!$A$4:$G$9, 2, FALSE))</f>
        <v>500</v>
      </c>
      <c r="D12" s="61">
        <f>IF(B12="","", ROUND(C12 * (VLOOKUP(B12, '💳 Debt Input'!$A$4:$G$9, 3, FALSE) / 12), 2))</f>
        <v>1.67</v>
      </c>
      <c r="E12" s="61" cm="1">
        <f t="array" aca="1" ref="E12" ca="1">IF(B12="","", ROUND(MIN(C12+D12, MAX(VLOOKUP(B12,'💳 Debt Input'!$A$4:$G$9,4,FALSE), $F$3 - IFERROR(SUM(OFFSET(E12, -MOD(ROW()-6, 6), 0, MOD(ROW()-6, 6))), 0) - IFERROR(SUM(SUMIF('💳 Debt Input'!$A$4:$A$9, OFFSET(B12, 1, 0, 5-MOD(ROW()-6, 6)), '💳 Debt Input'!$D$4:$D$9)), 0))), 2))</f>
        <v>25</v>
      </c>
      <c r="F12" s="61">
        <f t="shared" ref="F12:F22" ca="1" si="1">ROUND(MAX(0,C12+D12-E12),2)</f>
        <v>476.67</v>
      </c>
      <c r="G12" s="19" t="str">
        <f t="shared" ca="1" si="0"/>
        <v>Active</v>
      </c>
      <c r="H12" s="20"/>
      <c r="J12">
        <v>4</v>
      </c>
      <c r="K12">
        <f ca="1">SUM(F29:F34)</f>
        <v>29871.919999999998</v>
      </c>
      <c r="L12">
        <f ca="1">SUM(D29:D34)</f>
        <v>648.42000000000007</v>
      </c>
      <c r="M12">
        <f ca="1">F34</f>
        <v>16000</v>
      </c>
    </row>
    <row r="13" spans="1:13" ht="18" customHeight="1" x14ac:dyDescent="0.35">
      <c r="A13" s="47"/>
      <c r="B13" s="8" t="str">
        <v>Personal Loan</v>
      </c>
      <c r="C13" s="61">
        <f>IF(B13="","", VLOOKUP(B13, '💳 Debt Input'!$A$4:$G$9, 2, FALSE))</f>
        <v>1500</v>
      </c>
      <c r="D13" s="61">
        <f>IF(B13="","", ROUND(C13 * (VLOOKUP(B13, '💳 Debt Input'!$A$4:$G$9, 3, FALSE) / 12), 2))</f>
        <v>7.5</v>
      </c>
      <c r="E13" s="61" cm="1">
        <f t="array" aca="1" ref="E13" ca="1">IF(B13="","", ROUND(MIN(C13+D13, MAX(VLOOKUP(B13,'💳 Debt Input'!$A$4:$G$9,4,FALSE), $F$3 - IFERROR(SUM(OFFSET(E13, -MOD(ROW()-6, 6), 0, MOD(ROW()-6, 6))), 0) - IFERROR(SUM(SUMIF('💳 Debt Input'!$A$4:$A$9, OFFSET(B13, 1, 0, 5-MOD(ROW()-6, 6)), '💳 Debt Input'!$D$4:$D$9)), 0))), 2))</f>
        <v>40</v>
      </c>
      <c r="F13" s="61">
        <f t="shared" ca="1" si="1"/>
        <v>1467.5</v>
      </c>
      <c r="G13" s="19" t="str">
        <f t="shared" ca="1" si="0"/>
        <v>Active</v>
      </c>
      <c r="H13" s="20"/>
      <c r="J13">
        <v>5</v>
      </c>
      <c r="K13">
        <f ca="1">SUM(F35:F40)</f>
        <v>29582.25</v>
      </c>
      <c r="L13">
        <f ca="1">SUM(D35:D40)</f>
        <v>645.32999999999993</v>
      </c>
      <c r="M13">
        <f ca="1">F40</f>
        <v>16000</v>
      </c>
    </row>
    <row r="14" spans="1:13" ht="18" customHeight="1" x14ac:dyDescent="0.35">
      <c r="A14" s="47"/>
      <c r="B14" s="8" t="str">
        <v>Auto Loan</v>
      </c>
      <c r="C14" s="61">
        <f>IF(B14="","", VLOOKUP(B14, '💳 Debt Input'!$A$4:$G$9, 2, FALSE))</f>
        <v>4000</v>
      </c>
      <c r="D14" s="61">
        <f>IF(B14="","", ROUND(C14 * (VLOOKUP(B14, '💳 Debt Input'!$A$4:$G$9, 3, FALSE) / 12), 2))</f>
        <v>33.33</v>
      </c>
      <c r="E14" s="61" cm="1">
        <f t="array" aca="1" ref="E14" ca="1">IF(B14="","", ROUND(MIN(C14+D14, MAX(VLOOKUP(B14,'💳 Debt Input'!$A$4:$G$9,4,FALSE), $F$3 - IFERROR(SUM(OFFSET(E14, -MOD(ROW()-6, 6), 0, MOD(ROW()-6, 6))), 0) - IFERROR(SUM(SUMIF('💳 Debt Input'!$A$4:$A$9, OFFSET(B14, 1, 0, 5-MOD(ROW()-6, 6)), '💳 Debt Input'!$D$4:$D$9)), 0))), 2))</f>
        <v>120</v>
      </c>
      <c r="F14" s="61">
        <f t="shared" ca="1" si="1"/>
        <v>3913.33</v>
      </c>
      <c r="G14" s="19" t="str">
        <f t="shared" ca="1" si="0"/>
        <v>Active</v>
      </c>
      <c r="H14" s="20"/>
      <c r="J14">
        <v>6</v>
      </c>
      <c r="K14">
        <f ca="1">SUM(F41:F46)</f>
        <v>29289.440000000002</v>
      </c>
      <c r="L14">
        <f ca="1">SUM(D41:D46)</f>
        <v>642.19000000000005</v>
      </c>
      <c r="M14">
        <f ca="1">F46</f>
        <v>16000</v>
      </c>
    </row>
    <row r="15" spans="1:13" ht="18" customHeight="1" x14ac:dyDescent="0.35">
      <c r="A15" s="47"/>
      <c r="B15" s="8" t="str">
        <v>Travel Card</v>
      </c>
      <c r="C15" s="61">
        <f>IF(B15="","", VLOOKUP(B15, '💳 Debt Input'!$A$4:$G$9, 2, FALSE))</f>
        <v>9000</v>
      </c>
      <c r="D15" s="61">
        <f>IF(B15="","", ROUND(C15 * (VLOOKUP(B15, '💳 Debt Input'!$A$4:$G$9, 3, FALSE) / 12), 2))</f>
        <v>135</v>
      </c>
      <c r="E15" s="61" cm="1">
        <f t="array" aca="1" ref="E15" ca="1">IF(B15="","", ROUND(MIN(C15+D15, MAX(VLOOKUP(B15,'💳 Debt Input'!$A$4:$G$9,4,FALSE), $F$3 - IFERROR(SUM(OFFSET(E15, -MOD(ROW()-6, 6), 0, MOD(ROW()-6, 6))), 0) - IFERROR(SUM(SUMIF('💳 Debt Input'!$A$4:$A$9, OFFSET(B15, 1, 0, 5-MOD(ROW()-6, 6)), '💳 Debt Input'!$D$4:$D$9)), 0))), 2))</f>
        <v>270</v>
      </c>
      <c r="F15" s="61">
        <f t="shared" ca="1" si="1"/>
        <v>8865</v>
      </c>
      <c r="G15" s="19" t="str">
        <f t="shared" ca="1" si="0"/>
        <v>Active</v>
      </c>
      <c r="H15" s="20"/>
      <c r="J15">
        <v>7</v>
      </c>
      <c r="K15">
        <f ca="1">SUM(F47:F52)</f>
        <v>28993.45</v>
      </c>
      <c r="L15">
        <f ca="1">SUM(D47:D52)</f>
        <v>639.01</v>
      </c>
      <c r="M15">
        <f ca="1">F52</f>
        <v>16000</v>
      </c>
    </row>
    <row r="16" spans="1:13" ht="18" customHeight="1" x14ac:dyDescent="0.35">
      <c r="A16" s="47"/>
      <c r="B16" s="8" t="str">
        <v>Rewards Visa</v>
      </c>
      <c r="C16" s="61">
        <f>IF(B16="","", VLOOKUP(B16, '💳 Debt Input'!$A$4:$G$9, 2, FALSE))</f>
        <v>16000</v>
      </c>
      <c r="D16" s="61">
        <f>IF(B16="","", ROUND(C16 * (VLOOKUP(B16, '💳 Debt Input'!$A$4:$G$9, 3, FALSE) / 12), 2))</f>
        <v>480</v>
      </c>
      <c r="E16" s="61" cm="1">
        <f t="array" aca="1" ref="E16" ca="1">IF(B16="","", ROUND(MIN(C16+D16, MAX(VLOOKUP(B16,'💳 Debt Input'!$A$4:$G$9,4,FALSE), $F$3 - IFERROR(SUM(OFFSET(E16, -MOD(ROW()-6, 6), 0, MOD(ROW()-6, 6))), 0) - IFERROR(SUM(SUMIF('💳 Debt Input'!$A$4:$A$9, OFFSET(B16, 1, 0, 5-MOD(ROW()-6, 6)), '💳 Debt Input'!$D$4:$D$9)), 0))), 2))</f>
        <v>480</v>
      </c>
      <c r="F16" s="61">
        <f t="shared" ca="1" si="1"/>
        <v>16000</v>
      </c>
      <c r="G16" s="19" t="str">
        <f t="shared" ca="1" si="0"/>
        <v>Active</v>
      </c>
      <c r="H16" s="20"/>
      <c r="J16">
        <v>8</v>
      </c>
      <c r="K16">
        <f ca="1">SUM(F53:F58)</f>
        <v>28694.239999999998</v>
      </c>
      <c r="L16">
        <f ca="1">SUM(D53:D58)</f>
        <v>635.79</v>
      </c>
      <c r="M16">
        <f ca="1">F58</f>
        <v>16000</v>
      </c>
    </row>
    <row r="17" spans="1:13" ht="18" customHeight="1" x14ac:dyDescent="0.35">
      <c r="A17" s="48">
        <v>2</v>
      </c>
      <c r="B17" s="54" t="str" cm="1">
        <f t="array" ref="B17:B22">B11:B16</f>
        <v>Store Card</v>
      </c>
      <c r="C17" s="62" cm="1">
        <f t="array" aca="1" ref="C17:C22" ca="1">F11:F16</f>
        <v>0</v>
      </c>
      <c r="D17" s="62">
        <f ca="1">IF(B17="","", ROUND(C17 * (VLOOKUP(B17, '💳 Debt Input'!$A$4:$G$9, 3, FALSE) / 12), 2))</f>
        <v>0</v>
      </c>
      <c r="E17" s="62" cm="1">
        <f t="array" aca="1" ref="E17" ca="1">IF(B17="","", ROUND(MIN(C17+D17, MAX(VLOOKUP(B17,'💳 Debt Input'!$A$4:$G$9,4,FALSE), $F$3 - IFERROR(SUM(OFFSET(E17, -MOD(ROW()-6, 6), 0, MOD(ROW()-6, 6))), 0) - IFERROR(SUM(SUMIF('💳 Debt Input'!$A$4:$A$9, OFFSET(B17, 1, 0, 5-MOD(ROW()-6, 6)), '💳 Debt Input'!$D$4:$D$9)), 0))), 2))</f>
        <v>0</v>
      </c>
      <c r="F17" s="62">
        <f t="shared" ca="1" si="1"/>
        <v>0</v>
      </c>
      <c r="G17" s="21" t="str">
        <f t="shared" ca="1" si="0"/>
        <v>Paid off</v>
      </c>
      <c r="H17" s="21"/>
      <c r="J17">
        <v>9</v>
      </c>
      <c r="K17">
        <f ca="1">SUM(F59:F64)</f>
        <v>28391.760000000002</v>
      </c>
      <c r="L17">
        <f ca="1">SUM(D59:D64)</f>
        <v>632.52</v>
      </c>
      <c r="M17">
        <f ca="1">F64</f>
        <v>16000</v>
      </c>
    </row>
    <row r="18" spans="1:13" ht="18" customHeight="1" x14ac:dyDescent="0.35">
      <c r="A18" s="49"/>
      <c r="B18" s="6" t="str">
        <v>Medical Bill</v>
      </c>
      <c r="C18" s="63">
        <f ca="1"/>
        <v>476.67</v>
      </c>
      <c r="D18" s="63">
        <f ca="1">IF(B18="","", ROUND(C18 * (VLOOKUP(B18, '💳 Debt Input'!$A$4:$G$9, 3, FALSE) / 12), 2))</f>
        <v>1.59</v>
      </c>
      <c r="E18" s="63" cm="1">
        <f t="array" aca="1" ref="E18" ca="1">IF(B18="","", ROUND(MIN(C18+D18, MAX(VLOOKUP(B18,'💳 Debt Input'!$A$4:$G$9,4,FALSE), $F$3 - IFERROR(SUM(OFFSET(E18, -MOD(ROW()-6, 6), 0, MOD(ROW()-6, 6))), 0) - IFERROR(SUM(SUMIF('💳 Debt Input'!$A$4:$A$9, OFFSET(B18, 1, 0, 5-MOD(ROW()-6, 6)), '💳 Debt Input'!$D$4:$D$9)), 0))), 2))</f>
        <v>25</v>
      </c>
      <c r="F18" s="63">
        <f t="shared" ca="1" si="1"/>
        <v>453.26</v>
      </c>
      <c r="G18" s="22" t="str">
        <f t="shared" ca="1" si="0"/>
        <v>Active</v>
      </c>
      <c r="H18" s="22"/>
      <c r="J18">
        <v>10</v>
      </c>
      <c r="K18">
        <f ca="1">SUM(F65:F70)</f>
        <v>28085.98</v>
      </c>
      <c r="L18">
        <f ca="1">SUM(D65:D70)</f>
        <v>629.22</v>
      </c>
      <c r="M18">
        <f ca="1">F70</f>
        <v>16000</v>
      </c>
    </row>
    <row r="19" spans="1:13" ht="18" customHeight="1" x14ac:dyDescent="0.35">
      <c r="A19" s="49"/>
      <c r="B19" s="6" t="str">
        <v>Personal Loan</v>
      </c>
      <c r="C19" s="63">
        <f ca="1"/>
        <v>1467.5</v>
      </c>
      <c r="D19" s="63">
        <f ca="1">IF(B19="","", ROUND(C19 * (VLOOKUP(B19, '💳 Debt Input'!$A$4:$G$9, 3, FALSE) / 12), 2))</f>
        <v>7.34</v>
      </c>
      <c r="E19" s="63" cm="1">
        <f t="array" aca="1" ref="E19" ca="1">IF(B19="","", ROUND(MIN(C19+D19, MAX(VLOOKUP(B19,'💳 Debt Input'!$A$4:$G$9,4,FALSE), $F$3 - IFERROR(SUM(OFFSET(E19, -MOD(ROW()-6, 6), 0, MOD(ROW()-6, 6))), 0) - IFERROR(SUM(SUMIF('💳 Debt Input'!$A$4:$A$9, OFFSET(B19, 1, 0, 5-MOD(ROW()-6, 6)), '💳 Debt Input'!$D$4:$D$9)), 0))), 2))</f>
        <v>40</v>
      </c>
      <c r="F19" s="63">
        <f t="shared" ca="1" si="1"/>
        <v>1434.84</v>
      </c>
      <c r="G19" s="22" t="str">
        <f t="shared" ca="1" si="0"/>
        <v>Active</v>
      </c>
      <c r="H19" s="22"/>
      <c r="J19">
        <v>11</v>
      </c>
      <c r="K19">
        <f ca="1">SUM(F71:F76)</f>
        <v>27776.86</v>
      </c>
      <c r="L19">
        <f ca="1">SUM(D71:D76)</f>
        <v>625.88</v>
      </c>
      <c r="M19">
        <f ca="1">F76</f>
        <v>16000</v>
      </c>
    </row>
    <row r="20" spans="1:13" ht="18" customHeight="1" x14ac:dyDescent="0.35">
      <c r="A20" s="49"/>
      <c r="B20" s="6" t="str">
        <v>Auto Loan</v>
      </c>
      <c r="C20" s="63">
        <f ca="1"/>
        <v>3913.33</v>
      </c>
      <c r="D20" s="63">
        <f ca="1">IF(B20="","", ROUND(C20 * (VLOOKUP(B20, '💳 Debt Input'!$A$4:$G$9, 3, FALSE) / 12), 2))</f>
        <v>32.61</v>
      </c>
      <c r="E20" s="63" cm="1">
        <f t="array" aca="1" ref="E20" ca="1">IF(B20="","", ROUND(MIN(C20+D20, MAX(VLOOKUP(B20,'💳 Debt Input'!$A$4:$G$9,4,FALSE), $F$3 - IFERROR(SUM(OFFSET(E20, -MOD(ROW()-6, 6), 0, MOD(ROW()-6, 6))), 0) - IFERROR(SUM(SUMIF('💳 Debt Input'!$A$4:$A$9, OFFSET(B20, 1, 0, 5-MOD(ROW()-6, 6)), '💳 Debt Input'!$D$4:$D$9)), 0))), 2))</f>
        <v>120</v>
      </c>
      <c r="F20" s="63">
        <f t="shared" ca="1" si="1"/>
        <v>3825.94</v>
      </c>
      <c r="G20" s="22" t="str">
        <f t="shared" ca="1" si="0"/>
        <v>Active</v>
      </c>
      <c r="H20" s="22"/>
      <c r="J20">
        <v>12</v>
      </c>
      <c r="K20">
        <f ca="1">SUM(F77:F82)</f>
        <v>27464.36</v>
      </c>
      <c r="L20">
        <f ca="1">SUM(D77:D82)</f>
        <v>622.5</v>
      </c>
      <c r="M20">
        <f ca="1">F82</f>
        <v>16000</v>
      </c>
    </row>
    <row r="21" spans="1:13" ht="18" customHeight="1" x14ac:dyDescent="0.35">
      <c r="A21" s="49"/>
      <c r="B21" s="6" t="str">
        <v>Travel Card</v>
      </c>
      <c r="C21" s="63">
        <f ca="1"/>
        <v>8865</v>
      </c>
      <c r="D21" s="63">
        <f ca="1">IF(B21="","", ROUND(C21 * (VLOOKUP(B21, '💳 Debt Input'!$A$4:$G$9, 3, FALSE) / 12), 2))</f>
        <v>132.97999999999999</v>
      </c>
      <c r="E21" s="63" cm="1">
        <f t="array" aca="1" ref="E21" ca="1">IF(B21="","", ROUND(MIN(C21+D21, MAX(VLOOKUP(B21,'💳 Debt Input'!$A$4:$G$9,4,FALSE), $F$3 - IFERROR(SUM(OFFSET(E21, -MOD(ROW()-6, 6), 0, MOD(ROW()-6, 6))), 0) - IFERROR(SUM(SUMIF('💳 Debt Input'!$A$4:$A$9, OFFSET(B21, 1, 0, 5-MOD(ROW()-6, 6)), '💳 Debt Input'!$D$4:$D$9)), 0))), 2))</f>
        <v>270</v>
      </c>
      <c r="F21" s="63">
        <f t="shared" ca="1" si="1"/>
        <v>8727.98</v>
      </c>
      <c r="G21" s="22" t="str">
        <f t="shared" ca="1" si="0"/>
        <v>Active</v>
      </c>
      <c r="H21" s="22"/>
      <c r="J21">
        <v>13</v>
      </c>
      <c r="K21">
        <f ca="1">SUM(F83:F88)</f>
        <v>27148.43</v>
      </c>
      <c r="L21">
        <f ca="1">SUM(D83:D88)</f>
        <v>619.06999999999994</v>
      </c>
      <c r="M21">
        <f ca="1">F88</f>
        <v>16000</v>
      </c>
    </row>
    <row r="22" spans="1:13" ht="18" customHeight="1" x14ac:dyDescent="0.35">
      <c r="A22" s="49"/>
      <c r="B22" s="6" t="str">
        <v>Rewards Visa</v>
      </c>
      <c r="C22" s="63">
        <f ca="1"/>
        <v>16000</v>
      </c>
      <c r="D22" s="63">
        <f ca="1">IF(B22="","", ROUND(C22 * (VLOOKUP(B22, '💳 Debt Input'!$A$4:$G$9, 3, FALSE) / 12), 2))</f>
        <v>480</v>
      </c>
      <c r="E22" s="63" cm="1">
        <f t="array" aca="1" ref="E22" ca="1">IF(B22="","", ROUND(MIN(C22+D22, MAX(VLOOKUP(B22,'💳 Debt Input'!$A$4:$G$9,4,FALSE), $F$3 - IFERROR(SUM(OFFSET(E22, -MOD(ROW()-6, 6), 0, MOD(ROW()-6, 6))), 0) - IFERROR(SUM(SUMIF('💳 Debt Input'!$A$4:$A$9, OFFSET(B22, 1, 0, 5-MOD(ROW()-6, 6)), '💳 Debt Input'!$D$4:$D$9)), 0))), 2))</f>
        <v>480</v>
      </c>
      <c r="F22" s="63">
        <f t="shared" ca="1" si="1"/>
        <v>16000</v>
      </c>
      <c r="G22" s="22" t="str">
        <f t="shared" ca="1" si="0"/>
        <v>Active</v>
      </c>
      <c r="H22" s="22"/>
      <c r="J22">
        <v>14</v>
      </c>
      <c r="K22">
        <f ca="1">SUM(F89:F94)</f>
        <v>26829.02</v>
      </c>
      <c r="L22">
        <f ca="1">SUM(D89:D94)</f>
        <v>615.59</v>
      </c>
      <c r="M22">
        <f ca="1">F94</f>
        <v>16000</v>
      </c>
    </row>
    <row r="23" spans="1:13" ht="18" customHeight="1" x14ac:dyDescent="0.35">
      <c r="A23" s="50">
        <v>3</v>
      </c>
      <c r="B23" s="55" t="str" cm="1">
        <f t="array" ref="B23:B28">B17:B22</f>
        <v>Store Card</v>
      </c>
      <c r="C23" s="64" cm="1">
        <f t="array" aca="1" ref="C23:C28" ca="1">F17:F22</f>
        <v>0</v>
      </c>
      <c r="D23" s="64">
        <f ca="1">IF(B23="","", ROUND(C23 * (VLOOKUP(B23, '💳 Debt Input'!$A$4:$G$9, 3, FALSE) / 12), 2))</f>
        <v>0</v>
      </c>
      <c r="E23" s="64" cm="1">
        <f t="array" aca="1" ref="E23" ca="1">IF(B23="","", ROUND(MIN(C23+D23, MAX(VLOOKUP(B23,'💳 Debt Input'!$A$4:$G$9,4,FALSE), $F$3 - IFERROR(SUM(OFFSET(E23, -MOD(ROW()-6, 6), 0, MOD(ROW()-6, 6))), 0) - IFERROR(SUM(SUMIF('💳 Debt Input'!$A$4:$A$9, OFFSET(B23, 1, 0, 5-MOD(ROW()-6, 6)), '💳 Debt Input'!$D$4:$D$9)), 0))), 2))</f>
        <v>0</v>
      </c>
      <c r="F23" s="64">
        <f t="shared" ref="F23:F86" ca="1" si="2">ROUND(MAX(0,C23+D23-E23),2)</f>
        <v>0</v>
      </c>
      <c r="G23" s="24" t="str">
        <f t="shared" ref="G23:G86" ca="1" si="3">IF(F23=0,"Paid off","Active")</f>
        <v>Paid off</v>
      </c>
      <c r="H23" s="24"/>
      <c r="J23">
        <v>15</v>
      </c>
      <c r="K23">
        <f ca="1">SUM(F95:F100)</f>
        <v>26506.09</v>
      </c>
      <c r="L23">
        <f ca="1">SUM(D95:D100)</f>
        <v>612.06999999999994</v>
      </c>
      <c r="M23">
        <f ca="1">F100</f>
        <v>16000</v>
      </c>
    </row>
    <row r="24" spans="1:13" ht="18" customHeight="1" x14ac:dyDescent="0.35">
      <c r="A24" s="47"/>
      <c r="B24" s="8" t="str">
        <v>Medical Bill</v>
      </c>
      <c r="C24" s="61">
        <f ca="1"/>
        <v>453.26</v>
      </c>
      <c r="D24" s="61">
        <f ca="1">IF(B24="","", ROUND(C24 * (VLOOKUP(B24, '💳 Debt Input'!$A$4:$G$9, 3, FALSE) / 12), 2))</f>
        <v>1.51</v>
      </c>
      <c r="E24" s="61" cm="1">
        <f t="array" aca="1" ref="E24" ca="1">IF(B24="","", ROUND(MIN(C24+D24, MAX(VLOOKUP(B24,'💳 Debt Input'!$A$4:$G$9,4,FALSE), $F$3 - IFERROR(SUM(OFFSET(E24, -MOD(ROW()-6, 6), 0, MOD(ROW()-6, 6))), 0) - IFERROR(SUM(SUMIF('💳 Debt Input'!$A$4:$A$9, OFFSET(B24, 1, 0, 5-MOD(ROW()-6, 6)), '💳 Debt Input'!$D$4:$D$9)), 0))), 2))</f>
        <v>25</v>
      </c>
      <c r="F24" s="61">
        <f t="shared" ca="1" si="2"/>
        <v>429.77</v>
      </c>
      <c r="G24" s="19" t="str">
        <f t="shared" ca="1" si="3"/>
        <v>Active</v>
      </c>
      <c r="H24" s="19"/>
      <c r="J24">
        <v>16</v>
      </c>
      <c r="K24">
        <f ca="1">SUM(F101:F106)</f>
        <v>26179.599999999999</v>
      </c>
      <c r="L24">
        <f ca="1">SUM(D101:D106)</f>
        <v>608.51</v>
      </c>
      <c r="M24">
        <f ca="1">F106</f>
        <v>16000</v>
      </c>
    </row>
    <row r="25" spans="1:13" ht="18" customHeight="1" x14ac:dyDescent="0.35">
      <c r="A25" s="47"/>
      <c r="B25" s="8" t="str">
        <v>Personal Loan</v>
      </c>
      <c r="C25" s="61">
        <f ca="1"/>
        <v>1434.84</v>
      </c>
      <c r="D25" s="61">
        <f ca="1">IF(B25="","", ROUND(C25 * (VLOOKUP(B25, '💳 Debt Input'!$A$4:$G$9, 3, FALSE) / 12), 2))</f>
        <v>7.17</v>
      </c>
      <c r="E25" s="61" cm="1">
        <f t="array" aca="1" ref="E25" ca="1">IF(B25="","", ROUND(MIN(C25+D25, MAX(VLOOKUP(B25,'💳 Debt Input'!$A$4:$G$9,4,FALSE), $F$3 - IFERROR(SUM(OFFSET(E25, -MOD(ROW()-6, 6), 0, MOD(ROW()-6, 6))), 0) - IFERROR(SUM(SUMIF('💳 Debt Input'!$A$4:$A$9, OFFSET(B25, 1, 0, 5-MOD(ROW()-6, 6)), '💳 Debt Input'!$D$4:$D$9)), 0))), 2))</f>
        <v>40</v>
      </c>
      <c r="F25" s="61">
        <f t="shared" ca="1" si="2"/>
        <v>1402.01</v>
      </c>
      <c r="G25" s="19" t="str">
        <f t="shared" ca="1" si="3"/>
        <v>Active</v>
      </c>
      <c r="H25" s="19"/>
      <c r="J25">
        <v>17</v>
      </c>
      <c r="K25">
        <f ca="1">SUM(F107:F112)</f>
        <v>25849.510000000002</v>
      </c>
      <c r="L25">
        <f ca="1">SUM(D107:D112)</f>
        <v>604.91</v>
      </c>
      <c r="M25">
        <f ca="1">F112</f>
        <v>16000</v>
      </c>
    </row>
    <row r="26" spans="1:13" ht="18" customHeight="1" x14ac:dyDescent="0.35">
      <c r="A26" s="47"/>
      <c r="B26" s="8" t="str">
        <v>Auto Loan</v>
      </c>
      <c r="C26" s="61">
        <f ca="1"/>
        <v>3825.94</v>
      </c>
      <c r="D26" s="61">
        <f ca="1">IF(B26="","", ROUND(C26 * (VLOOKUP(B26, '💳 Debt Input'!$A$4:$G$9, 3, FALSE) / 12), 2))</f>
        <v>31.88</v>
      </c>
      <c r="E26" s="61" cm="1">
        <f t="array" aca="1" ref="E26" ca="1">IF(B26="","", ROUND(MIN(C26+D26, MAX(VLOOKUP(B26,'💳 Debt Input'!$A$4:$G$9,4,FALSE), $F$3 - IFERROR(SUM(OFFSET(E26, -MOD(ROW()-6, 6), 0, MOD(ROW()-6, 6))), 0) - IFERROR(SUM(SUMIF('💳 Debt Input'!$A$4:$A$9, OFFSET(B26, 1, 0, 5-MOD(ROW()-6, 6)), '💳 Debt Input'!$D$4:$D$9)), 0))), 2))</f>
        <v>120</v>
      </c>
      <c r="F26" s="61">
        <f t="shared" ca="1" si="2"/>
        <v>3737.82</v>
      </c>
      <c r="G26" s="19" t="str">
        <f t="shared" ca="1" si="3"/>
        <v>Active</v>
      </c>
      <c r="H26" s="19"/>
      <c r="J26">
        <v>18</v>
      </c>
      <c r="K26">
        <f ca="1">SUM(F113:F118)</f>
        <v>25515.760000000002</v>
      </c>
      <c r="L26">
        <f ca="1">SUM(D113:D118)</f>
        <v>601.25</v>
      </c>
      <c r="M26">
        <f ca="1">F118</f>
        <v>16000</v>
      </c>
    </row>
    <row r="27" spans="1:13" ht="18" customHeight="1" x14ac:dyDescent="0.35">
      <c r="A27" s="47"/>
      <c r="B27" s="8" t="str">
        <v>Travel Card</v>
      </c>
      <c r="C27" s="61">
        <f ca="1"/>
        <v>8727.98</v>
      </c>
      <c r="D27" s="61">
        <f ca="1">IF(B27="","", ROUND(C27 * (VLOOKUP(B27, '💳 Debt Input'!$A$4:$G$9, 3, FALSE) / 12), 2))</f>
        <v>130.91999999999999</v>
      </c>
      <c r="E27" s="61" cm="1">
        <f t="array" aca="1" ref="E27" ca="1">IF(B27="","", ROUND(MIN(C27+D27, MAX(VLOOKUP(B27,'💳 Debt Input'!$A$4:$G$9,4,FALSE), $F$3 - IFERROR(SUM(OFFSET(E27, -MOD(ROW()-6, 6), 0, MOD(ROW()-6, 6))), 0) - IFERROR(SUM(SUMIF('💳 Debt Input'!$A$4:$A$9, OFFSET(B27, 1, 0, 5-MOD(ROW()-6, 6)), '💳 Debt Input'!$D$4:$D$9)), 0))), 2))</f>
        <v>270</v>
      </c>
      <c r="F27" s="61">
        <f t="shared" ca="1" si="2"/>
        <v>8588.9</v>
      </c>
      <c r="G27" s="19" t="str">
        <f t="shared" ca="1" si="3"/>
        <v>Active</v>
      </c>
      <c r="H27" s="19"/>
      <c r="J27">
        <v>19</v>
      </c>
      <c r="K27">
        <f ca="1">SUM(F119:F124)</f>
        <v>25178.32</v>
      </c>
      <c r="L27">
        <f ca="1">SUM(D119:D124)</f>
        <v>597.55999999999995</v>
      </c>
      <c r="M27">
        <f ca="1">F124</f>
        <v>16000</v>
      </c>
    </row>
    <row r="28" spans="1:13" ht="18" customHeight="1" x14ac:dyDescent="0.35">
      <c r="A28" s="47"/>
      <c r="B28" s="8" t="str">
        <v>Rewards Visa</v>
      </c>
      <c r="C28" s="61">
        <f ca="1"/>
        <v>16000</v>
      </c>
      <c r="D28" s="61">
        <f ca="1">IF(B28="","", ROUND(C28 * (VLOOKUP(B28, '💳 Debt Input'!$A$4:$G$9, 3, FALSE) / 12), 2))</f>
        <v>480</v>
      </c>
      <c r="E28" s="61" cm="1">
        <f t="array" aca="1" ref="E28" ca="1">IF(B28="","", ROUND(MIN(C28+D28, MAX(VLOOKUP(B28,'💳 Debt Input'!$A$4:$G$9,4,FALSE), $F$3 - IFERROR(SUM(OFFSET(E28, -MOD(ROW()-6, 6), 0, MOD(ROW()-6, 6))), 0) - IFERROR(SUM(SUMIF('💳 Debt Input'!$A$4:$A$9, OFFSET(B28, 1, 0, 5-MOD(ROW()-6, 6)), '💳 Debt Input'!$D$4:$D$9)), 0))), 2))</f>
        <v>480</v>
      </c>
      <c r="F28" s="61">
        <f t="shared" ca="1" si="2"/>
        <v>16000</v>
      </c>
      <c r="G28" s="19" t="str">
        <f t="shared" ca="1" si="3"/>
        <v>Active</v>
      </c>
      <c r="H28" s="19"/>
      <c r="J28">
        <v>20</v>
      </c>
      <c r="K28">
        <f ca="1">SUM(F125:F130)</f>
        <v>24837.119999999999</v>
      </c>
      <c r="L28">
        <f ca="1">SUM(D125:D130)</f>
        <v>593.79999999999995</v>
      </c>
      <c r="M28">
        <f ca="1">F130</f>
        <v>16000</v>
      </c>
    </row>
    <row r="29" spans="1:13" ht="18" customHeight="1" x14ac:dyDescent="0.35">
      <c r="A29" s="48">
        <v>4</v>
      </c>
      <c r="B29" s="54" t="str" cm="1">
        <f t="array" ref="B29:B34">B23:B28</f>
        <v>Store Card</v>
      </c>
      <c r="C29" s="62" cm="1">
        <f t="array" aca="1" ref="C29:C34" ca="1">F23:F28</f>
        <v>0</v>
      </c>
      <c r="D29" s="62">
        <f ca="1">IF(B29="","", ROUND(C29 * (VLOOKUP(B29, '💳 Debt Input'!$A$4:$G$9, 3, FALSE) / 12), 2))</f>
        <v>0</v>
      </c>
      <c r="E29" s="62" cm="1">
        <f t="array" aca="1" ref="E29" ca="1">IF(B29="","", ROUND(MIN(C29+D29, MAX(VLOOKUP(B29,'💳 Debt Input'!$A$4:$G$9,4,FALSE), $F$3 - IFERROR(SUM(OFFSET(E29, -MOD(ROW()-6, 6), 0, MOD(ROW()-6, 6))), 0) - IFERROR(SUM(SUMIF('💳 Debt Input'!$A$4:$A$9, OFFSET(B29, 1, 0, 5-MOD(ROW()-6, 6)), '💳 Debt Input'!$D$4:$D$9)), 0))), 2))</f>
        <v>0</v>
      </c>
      <c r="F29" s="62">
        <f t="shared" ca="1" si="2"/>
        <v>0</v>
      </c>
      <c r="G29" s="21" t="str">
        <f t="shared" ca="1" si="3"/>
        <v>Paid off</v>
      </c>
      <c r="H29" s="21"/>
      <c r="J29">
        <v>21</v>
      </c>
      <c r="K29">
        <f ca="1">SUM(F131:F136)</f>
        <v>24492.129999999997</v>
      </c>
      <c r="L29">
        <f ca="1">SUM(D131:D136)</f>
        <v>590.01</v>
      </c>
      <c r="M29">
        <f ca="1">F136</f>
        <v>16000</v>
      </c>
    </row>
    <row r="30" spans="1:13" ht="18" customHeight="1" x14ac:dyDescent="0.35">
      <c r="A30" s="49"/>
      <c r="B30" s="6" t="str">
        <v>Medical Bill</v>
      </c>
      <c r="C30" s="63">
        <f ca="1"/>
        <v>429.77</v>
      </c>
      <c r="D30" s="63">
        <f ca="1">IF(B30="","", ROUND(C30 * (VLOOKUP(B30, '💳 Debt Input'!$A$4:$G$9, 3, FALSE) / 12), 2))</f>
        <v>1.43</v>
      </c>
      <c r="E30" s="63" cm="1">
        <f t="array" aca="1" ref="E30" ca="1">IF(B30="","", ROUND(MIN(C30+D30, MAX(VLOOKUP(B30,'💳 Debt Input'!$A$4:$G$9,4,FALSE), $F$3 - IFERROR(SUM(OFFSET(E30, -MOD(ROW()-6, 6), 0, MOD(ROW()-6, 6))), 0) - IFERROR(SUM(SUMIF('💳 Debt Input'!$A$4:$A$9, OFFSET(B30, 1, 0, 5-MOD(ROW()-6, 6)), '💳 Debt Input'!$D$4:$D$9)), 0))), 2))</f>
        <v>25</v>
      </c>
      <c r="F30" s="63">
        <f t="shared" ca="1" si="2"/>
        <v>406.2</v>
      </c>
      <c r="G30" s="22" t="str">
        <f t="shared" ca="1" si="3"/>
        <v>Active</v>
      </c>
      <c r="H30" s="22"/>
      <c r="J30">
        <v>22</v>
      </c>
      <c r="K30">
        <f ca="1">SUM(F137:F142)</f>
        <v>24143.29</v>
      </c>
      <c r="L30">
        <f ca="1">SUM(D137:D142)</f>
        <v>586.16</v>
      </c>
      <c r="M30">
        <f ca="1">F142</f>
        <v>16000</v>
      </c>
    </row>
    <row r="31" spans="1:13" ht="18" customHeight="1" x14ac:dyDescent="0.35">
      <c r="A31" s="49"/>
      <c r="B31" s="6" t="str">
        <v>Personal Loan</v>
      </c>
      <c r="C31" s="63">
        <f ca="1"/>
        <v>1402.01</v>
      </c>
      <c r="D31" s="63">
        <f ca="1">IF(B31="","", ROUND(C31 * (VLOOKUP(B31, '💳 Debt Input'!$A$4:$G$9, 3, FALSE) / 12), 2))</f>
        <v>7.01</v>
      </c>
      <c r="E31" s="63" cm="1">
        <f t="array" aca="1" ref="E31" ca="1">IF(B31="","", ROUND(MIN(C31+D31, MAX(VLOOKUP(B31,'💳 Debt Input'!$A$4:$G$9,4,FALSE), $F$3 - IFERROR(SUM(OFFSET(E31, -MOD(ROW()-6, 6), 0, MOD(ROW()-6, 6))), 0) - IFERROR(SUM(SUMIF('💳 Debt Input'!$A$4:$A$9, OFFSET(B31, 1, 0, 5-MOD(ROW()-6, 6)), '💳 Debt Input'!$D$4:$D$9)), 0))), 2))</f>
        <v>40</v>
      </c>
      <c r="F31" s="63">
        <f t="shared" ca="1" si="2"/>
        <v>1369.02</v>
      </c>
      <c r="G31" s="22" t="str">
        <f t="shared" ca="1" si="3"/>
        <v>Active</v>
      </c>
      <c r="H31" s="22"/>
      <c r="J31">
        <v>23</v>
      </c>
      <c r="K31">
        <f ca="1">SUM(F143:F148)</f>
        <v>23790.510000000002</v>
      </c>
      <c r="L31">
        <f ca="1">SUM(D143:D148)</f>
        <v>582.22</v>
      </c>
      <c r="M31">
        <f ca="1">F148</f>
        <v>16000</v>
      </c>
    </row>
    <row r="32" spans="1:13" ht="18" customHeight="1" x14ac:dyDescent="0.35">
      <c r="A32" s="49"/>
      <c r="B32" s="6" t="str">
        <v>Auto Loan</v>
      </c>
      <c r="C32" s="63">
        <f ca="1"/>
        <v>3737.82</v>
      </c>
      <c r="D32" s="63">
        <f ca="1">IF(B32="","", ROUND(C32 * (VLOOKUP(B32, '💳 Debt Input'!$A$4:$G$9, 3, FALSE) / 12), 2))</f>
        <v>31.15</v>
      </c>
      <c r="E32" s="63" cm="1">
        <f t="array" aca="1" ref="E32" ca="1">IF(B32="","", ROUND(MIN(C32+D32, MAX(VLOOKUP(B32,'💳 Debt Input'!$A$4:$G$9,4,FALSE), $F$3 - IFERROR(SUM(OFFSET(E32, -MOD(ROW()-6, 6), 0, MOD(ROW()-6, 6))), 0) - IFERROR(SUM(SUMIF('💳 Debt Input'!$A$4:$A$9, OFFSET(B32, 1, 0, 5-MOD(ROW()-6, 6)), '💳 Debt Input'!$D$4:$D$9)), 0))), 2))</f>
        <v>120</v>
      </c>
      <c r="F32" s="63">
        <f t="shared" ca="1" si="2"/>
        <v>3648.97</v>
      </c>
      <c r="G32" s="22" t="str">
        <f t="shared" ca="1" si="3"/>
        <v>Active</v>
      </c>
      <c r="H32" s="22"/>
      <c r="J32">
        <v>24</v>
      </c>
      <c r="K32">
        <f ca="1">SUM(F149:F154)</f>
        <v>23433.760000000002</v>
      </c>
      <c r="L32">
        <f ca="1">SUM(D149:D154)</f>
        <v>578.25</v>
      </c>
      <c r="M32">
        <f ca="1">F154</f>
        <v>16000</v>
      </c>
    </row>
    <row r="33" spans="1:13" ht="18" customHeight="1" x14ac:dyDescent="0.35">
      <c r="A33" s="49"/>
      <c r="B33" s="6" t="str">
        <v>Travel Card</v>
      </c>
      <c r="C33" s="63">
        <f ca="1"/>
        <v>8588.9</v>
      </c>
      <c r="D33" s="63">
        <f ca="1">IF(B33="","", ROUND(C33 * (VLOOKUP(B33, '💳 Debt Input'!$A$4:$G$9, 3, FALSE) / 12), 2))</f>
        <v>128.83000000000001</v>
      </c>
      <c r="E33" s="63" cm="1">
        <f t="array" aca="1" ref="E33" ca="1">IF(B33="","", ROUND(MIN(C33+D33, MAX(VLOOKUP(B33,'💳 Debt Input'!$A$4:$G$9,4,FALSE), $F$3 - IFERROR(SUM(OFFSET(E33, -MOD(ROW()-6, 6), 0, MOD(ROW()-6, 6))), 0) - IFERROR(SUM(SUMIF('💳 Debt Input'!$A$4:$A$9, OFFSET(B33, 1, 0, 5-MOD(ROW()-6, 6)), '💳 Debt Input'!$D$4:$D$9)), 0))), 2))</f>
        <v>270</v>
      </c>
      <c r="F33" s="63">
        <f t="shared" ca="1" si="2"/>
        <v>8447.73</v>
      </c>
      <c r="G33" s="22" t="str">
        <f t="shared" ca="1" si="3"/>
        <v>Active</v>
      </c>
      <c r="H33" s="22"/>
      <c r="J33">
        <v>25</v>
      </c>
      <c r="K33">
        <f ca="1">SUM(F155:F160)</f>
        <v>23072.97</v>
      </c>
      <c r="L33">
        <f ca="1">SUM(D155:D160)</f>
        <v>574.21</v>
      </c>
      <c r="M33">
        <f ca="1">F160</f>
        <v>16000</v>
      </c>
    </row>
    <row r="34" spans="1:13" ht="18" customHeight="1" x14ac:dyDescent="0.35">
      <c r="A34" s="49"/>
      <c r="B34" s="6" t="str">
        <v>Rewards Visa</v>
      </c>
      <c r="C34" s="63">
        <f ca="1"/>
        <v>16000</v>
      </c>
      <c r="D34" s="63">
        <f ca="1">IF(B34="","", ROUND(C34 * (VLOOKUP(B34, '💳 Debt Input'!$A$4:$G$9, 3, FALSE) / 12), 2))</f>
        <v>480</v>
      </c>
      <c r="E34" s="63" cm="1">
        <f t="array" aca="1" ref="E34" ca="1">IF(B34="","", ROUND(MIN(C34+D34, MAX(VLOOKUP(B34,'💳 Debt Input'!$A$4:$G$9,4,FALSE), $F$3 - IFERROR(SUM(OFFSET(E34, -MOD(ROW()-6, 6), 0, MOD(ROW()-6, 6))), 0) - IFERROR(SUM(SUMIF('💳 Debt Input'!$A$4:$A$9, OFFSET(B34, 1, 0, 5-MOD(ROW()-6, 6)), '💳 Debt Input'!$D$4:$D$9)), 0))), 2))</f>
        <v>480</v>
      </c>
      <c r="F34" s="63">
        <f t="shared" ca="1" si="2"/>
        <v>16000</v>
      </c>
      <c r="G34" s="22" t="str">
        <f t="shared" ca="1" si="3"/>
        <v>Active</v>
      </c>
      <c r="H34" s="22"/>
      <c r="J34">
        <v>26</v>
      </c>
      <c r="K34">
        <f ca="1">SUM(F161:F166)</f>
        <v>22708.09</v>
      </c>
      <c r="L34">
        <f ca="1">SUM(D161:D166)</f>
        <v>570.12</v>
      </c>
      <c r="M34">
        <f ca="1">F166</f>
        <v>16000</v>
      </c>
    </row>
    <row r="35" spans="1:13" ht="18" customHeight="1" x14ac:dyDescent="0.35">
      <c r="A35" s="50">
        <v>5</v>
      </c>
      <c r="B35" s="55" t="str" cm="1">
        <f t="array" ref="B35:B40">B29:B34</f>
        <v>Store Card</v>
      </c>
      <c r="C35" s="64" cm="1">
        <f t="array" aca="1" ref="C35:C40" ca="1">F29:F34</f>
        <v>0</v>
      </c>
      <c r="D35" s="64">
        <f ca="1">IF(B35="","", ROUND(C35 * (VLOOKUP(B35, '💳 Debt Input'!$A$4:$G$9, 3, FALSE) / 12), 2))</f>
        <v>0</v>
      </c>
      <c r="E35" s="64" cm="1">
        <f t="array" aca="1" ref="E35" ca="1">IF(B35="","", ROUND(MIN(C35+D35, MAX(VLOOKUP(B35,'💳 Debt Input'!$A$4:$G$9,4,FALSE), $F$3 - IFERROR(SUM(OFFSET(E35, -MOD(ROW()-6, 6), 0, MOD(ROW()-6, 6))), 0) - IFERROR(SUM(SUMIF('💳 Debt Input'!$A$4:$A$9, OFFSET(B35, 1, 0, 5-MOD(ROW()-6, 6)), '💳 Debt Input'!$D$4:$D$9)), 0))), 2))</f>
        <v>0</v>
      </c>
      <c r="F35" s="64">
        <f t="shared" ca="1" si="2"/>
        <v>0</v>
      </c>
      <c r="G35" s="24" t="str">
        <f t="shared" ca="1" si="3"/>
        <v>Paid off</v>
      </c>
      <c r="H35" s="24"/>
      <c r="J35">
        <v>27</v>
      </c>
      <c r="K35">
        <f ca="1">SUM(F167:F172)</f>
        <v>22339.06</v>
      </c>
      <c r="L35">
        <f ca="1">SUM(D167:D172)</f>
        <v>565.97</v>
      </c>
      <c r="M35">
        <f ca="1">F172</f>
        <v>16000</v>
      </c>
    </row>
    <row r="36" spans="1:13" ht="18" customHeight="1" x14ac:dyDescent="0.35">
      <c r="A36" s="47"/>
      <c r="B36" s="8" t="str">
        <v>Medical Bill</v>
      </c>
      <c r="C36" s="61">
        <f ca="1"/>
        <v>406.2</v>
      </c>
      <c r="D36" s="61">
        <f ca="1">IF(B36="","", ROUND(C36 * (VLOOKUP(B36, '💳 Debt Input'!$A$4:$G$9, 3, FALSE) / 12), 2))</f>
        <v>1.35</v>
      </c>
      <c r="E36" s="61" cm="1">
        <f t="array" aca="1" ref="E36" ca="1">IF(B36="","", ROUND(MIN(C36+D36, MAX(VLOOKUP(B36,'💳 Debt Input'!$A$4:$G$9,4,FALSE), $F$3 - IFERROR(SUM(OFFSET(E36, -MOD(ROW()-6, 6), 0, MOD(ROW()-6, 6))), 0) - IFERROR(SUM(SUMIF('💳 Debt Input'!$A$4:$A$9, OFFSET(B36, 1, 0, 5-MOD(ROW()-6, 6)), '💳 Debt Input'!$D$4:$D$9)), 0))), 2))</f>
        <v>25</v>
      </c>
      <c r="F36" s="61">
        <f t="shared" ca="1" si="2"/>
        <v>382.55</v>
      </c>
      <c r="G36" s="19" t="str">
        <f t="shared" ca="1" si="3"/>
        <v>Active</v>
      </c>
      <c r="H36" s="19"/>
      <c r="J36">
        <v>28</v>
      </c>
      <c r="K36">
        <f ca="1">SUM(F173:F178)</f>
        <v>21965.85</v>
      </c>
      <c r="L36">
        <f ca="1">SUM(D173:D178)</f>
        <v>561.79</v>
      </c>
      <c r="M36">
        <f ca="1">F178</f>
        <v>16000</v>
      </c>
    </row>
    <row r="37" spans="1:13" ht="18" customHeight="1" x14ac:dyDescent="0.35">
      <c r="A37" s="47"/>
      <c r="B37" s="8" t="str">
        <v>Personal Loan</v>
      </c>
      <c r="C37" s="61">
        <f ca="1"/>
        <v>1369.02</v>
      </c>
      <c r="D37" s="61">
        <f ca="1">IF(B37="","", ROUND(C37 * (VLOOKUP(B37, '💳 Debt Input'!$A$4:$G$9, 3, FALSE) / 12), 2))</f>
        <v>6.85</v>
      </c>
      <c r="E37" s="61" cm="1">
        <f t="array" aca="1" ref="E37" ca="1">IF(B37="","", ROUND(MIN(C37+D37, MAX(VLOOKUP(B37,'💳 Debt Input'!$A$4:$G$9,4,FALSE), $F$3 - IFERROR(SUM(OFFSET(E37, -MOD(ROW()-6, 6), 0, MOD(ROW()-6, 6))), 0) - IFERROR(SUM(SUMIF('💳 Debt Input'!$A$4:$A$9, OFFSET(B37, 1, 0, 5-MOD(ROW()-6, 6)), '💳 Debt Input'!$D$4:$D$9)), 0))), 2))</f>
        <v>40</v>
      </c>
      <c r="F37" s="61">
        <f t="shared" ca="1" si="2"/>
        <v>1335.87</v>
      </c>
      <c r="G37" s="19" t="str">
        <f t="shared" ca="1" si="3"/>
        <v>Active</v>
      </c>
      <c r="H37" s="19"/>
      <c r="J37">
        <v>29</v>
      </c>
      <c r="K37">
        <f ca="1">SUM(F179:F184)</f>
        <v>21588.400000000001</v>
      </c>
      <c r="L37">
        <f ca="1">SUM(D179:D184)</f>
        <v>557.54999999999995</v>
      </c>
      <c r="M37">
        <f ca="1">F184</f>
        <v>16000</v>
      </c>
    </row>
    <row r="38" spans="1:13" ht="18" customHeight="1" x14ac:dyDescent="0.35">
      <c r="A38" s="47"/>
      <c r="B38" s="8" t="str">
        <v>Auto Loan</v>
      </c>
      <c r="C38" s="61">
        <f ca="1"/>
        <v>3648.97</v>
      </c>
      <c r="D38" s="61">
        <f ca="1">IF(B38="","", ROUND(C38 * (VLOOKUP(B38, '💳 Debt Input'!$A$4:$G$9, 3, FALSE) / 12), 2))</f>
        <v>30.41</v>
      </c>
      <c r="E38" s="61" cm="1">
        <f t="array" aca="1" ref="E38" ca="1">IF(B38="","", ROUND(MIN(C38+D38, MAX(VLOOKUP(B38,'💳 Debt Input'!$A$4:$G$9,4,FALSE), $F$3 - IFERROR(SUM(OFFSET(E38, -MOD(ROW()-6, 6), 0, MOD(ROW()-6, 6))), 0) - IFERROR(SUM(SUMIF('💳 Debt Input'!$A$4:$A$9, OFFSET(B38, 1, 0, 5-MOD(ROW()-6, 6)), '💳 Debt Input'!$D$4:$D$9)), 0))), 2))</f>
        <v>120</v>
      </c>
      <c r="F38" s="61">
        <f t="shared" ca="1" si="2"/>
        <v>3559.38</v>
      </c>
      <c r="G38" s="19" t="str">
        <f t="shared" ca="1" si="3"/>
        <v>Active</v>
      </c>
      <c r="H38" s="19"/>
      <c r="J38">
        <v>30</v>
      </c>
      <c r="K38">
        <f ca="1">SUM(F185:F190)</f>
        <v>21206.639999999999</v>
      </c>
      <c r="L38">
        <f ca="1">SUM(D185:D190)</f>
        <v>553.24</v>
      </c>
      <c r="M38">
        <f ca="1">F190</f>
        <v>16000</v>
      </c>
    </row>
    <row r="39" spans="1:13" ht="18" customHeight="1" x14ac:dyDescent="0.35">
      <c r="A39" s="47"/>
      <c r="B39" s="8" t="str">
        <v>Travel Card</v>
      </c>
      <c r="C39" s="61">
        <f ca="1"/>
        <v>8447.73</v>
      </c>
      <c r="D39" s="61">
        <f ca="1">IF(B39="","", ROUND(C39 * (VLOOKUP(B39, '💳 Debt Input'!$A$4:$G$9, 3, FALSE) / 12), 2))</f>
        <v>126.72</v>
      </c>
      <c r="E39" s="61" cm="1">
        <f t="array" aca="1" ref="E39" ca="1">IF(B39="","", ROUND(MIN(C39+D39, MAX(VLOOKUP(B39,'💳 Debt Input'!$A$4:$G$9,4,FALSE), $F$3 - IFERROR(SUM(OFFSET(E39, -MOD(ROW()-6, 6), 0, MOD(ROW()-6, 6))), 0) - IFERROR(SUM(SUMIF('💳 Debt Input'!$A$4:$A$9, OFFSET(B39, 1, 0, 5-MOD(ROW()-6, 6)), '💳 Debt Input'!$D$4:$D$9)), 0))), 2))</f>
        <v>270</v>
      </c>
      <c r="F39" s="61">
        <f t="shared" ca="1" si="2"/>
        <v>8304.4500000000007</v>
      </c>
      <c r="G39" s="19" t="str">
        <f t="shared" ca="1" si="3"/>
        <v>Active</v>
      </c>
      <c r="H39" s="19"/>
      <c r="J39">
        <v>31</v>
      </c>
      <c r="K39">
        <f ca="1">SUM(F191:F196)</f>
        <v>20820.52</v>
      </c>
      <c r="L39">
        <f ca="1">SUM(D191:D196)</f>
        <v>548.88</v>
      </c>
      <c r="M39">
        <f ca="1">F196</f>
        <v>16000</v>
      </c>
    </row>
    <row r="40" spans="1:13" ht="18" customHeight="1" x14ac:dyDescent="0.35">
      <c r="A40" s="47"/>
      <c r="B40" s="8" t="str">
        <v>Rewards Visa</v>
      </c>
      <c r="C40" s="61">
        <f ca="1"/>
        <v>16000</v>
      </c>
      <c r="D40" s="61">
        <f ca="1">IF(B40="","", ROUND(C40 * (VLOOKUP(B40, '💳 Debt Input'!$A$4:$G$9, 3, FALSE) / 12), 2))</f>
        <v>480</v>
      </c>
      <c r="E40" s="61" cm="1">
        <f t="array" aca="1" ref="E40" ca="1">IF(B40="","", ROUND(MIN(C40+D40, MAX(VLOOKUP(B40,'💳 Debt Input'!$A$4:$G$9,4,FALSE), $F$3 - IFERROR(SUM(OFFSET(E40, -MOD(ROW()-6, 6), 0, MOD(ROW()-6, 6))), 0) - IFERROR(SUM(SUMIF('💳 Debt Input'!$A$4:$A$9, OFFSET(B40, 1, 0, 5-MOD(ROW()-6, 6)), '💳 Debt Input'!$D$4:$D$9)), 0))), 2))</f>
        <v>480</v>
      </c>
      <c r="F40" s="61">
        <f t="shared" ca="1" si="2"/>
        <v>16000</v>
      </c>
      <c r="G40" s="19" t="str">
        <f t="shared" ca="1" si="3"/>
        <v>Active</v>
      </c>
      <c r="H40" s="19"/>
      <c r="J40">
        <v>32</v>
      </c>
      <c r="K40">
        <f ca="1">SUM(F197:F202)</f>
        <v>20430</v>
      </c>
      <c r="L40">
        <f ca="1">SUM(D197:D202)</f>
        <v>544.48</v>
      </c>
      <c r="M40">
        <f ca="1">F202</f>
        <v>16000</v>
      </c>
    </row>
    <row r="41" spans="1:13" ht="18" customHeight="1" x14ac:dyDescent="0.35">
      <c r="A41" s="48">
        <v>6</v>
      </c>
      <c r="B41" s="54" t="str" cm="1">
        <f t="array" ref="B41:B46">B35:B40</f>
        <v>Store Card</v>
      </c>
      <c r="C41" s="62" cm="1">
        <f t="array" aca="1" ref="C41:C46" ca="1">F35:F40</f>
        <v>0</v>
      </c>
      <c r="D41" s="62">
        <f ca="1">IF(B41="","", ROUND(C41 * (VLOOKUP(B41, '💳 Debt Input'!$A$4:$G$9, 3, FALSE) / 12), 2))</f>
        <v>0</v>
      </c>
      <c r="E41" s="62" cm="1">
        <f t="array" aca="1" ref="E41" ca="1">IF(B41="","", ROUND(MIN(C41+D41, MAX(VLOOKUP(B41,'💳 Debt Input'!$A$4:$G$9,4,FALSE), $F$3 - IFERROR(SUM(OFFSET(E41, -MOD(ROW()-6, 6), 0, MOD(ROW()-6, 6))), 0) - IFERROR(SUM(SUMIF('💳 Debt Input'!$A$4:$A$9, OFFSET(B41, 1, 0, 5-MOD(ROW()-6, 6)), '💳 Debt Input'!$D$4:$D$9)), 0))), 2))</f>
        <v>0</v>
      </c>
      <c r="F41" s="62">
        <f t="shared" ca="1" si="2"/>
        <v>0</v>
      </c>
      <c r="G41" s="21" t="str">
        <f t="shared" ca="1" si="3"/>
        <v>Paid off</v>
      </c>
      <c r="H41" s="21"/>
      <c r="J41">
        <v>33</v>
      </c>
      <c r="K41">
        <f ca="1">SUM(F203:F208)</f>
        <v>20035.009999999998</v>
      </c>
      <c r="L41">
        <f ca="1">SUM(D203:D208)</f>
        <v>540.01</v>
      </c>
      <c r="M41">
        <f ca="1">F208</f>
        <v>16000</v>
      </c>
    </row>
    <row r="42" spans="1:13" ht="18" customHeight="1" x14ac:dyDescent="0.35">
      <c r="A42" s="49"/>
      <c r="B42" s="6" t="str">
        <v>Medical Bill</v>
      </c>
      <c r="C42" s="63">
        <f ca="1"/>
        <v>382.55</v>
      </c>
      <c r="D42" s="63">
        <f ca="1">IF(B42="","", ROUND(C42 * (VLOOKUP(B42, '💳 Debt Input'!$A$4:$G$9, 3, FALSE) / 12), 2))</f>
        <v>1.28</v>
      </c>
      <c r="E42" s="63" cm="1">
        <f t="array" aca="1" ref="E42" ca="1">IF(B42="","", ROUND(MIN(C42+D42, MAX(VLOOKUP(B42,'💳 Debt Input'!$A$4:$G$9,4,FALSE), $F$3 - IFERROR(SUM(OFFSET(E42, -MOD(ROW()-6, 6), 0, MOD(ROW()-6, 6))), 0) - IFERROR(SUM(SUMIF('💳 Debt Input'!$A$4:$A$9, OFFSET(B42, 1, 0, 5-MOD(ROW()-6, 6)), '💳 Debt Input'!$D$4:$D$9)), 0))), 2))</f>
        <v>25</v>
      </c>
      <c r="F42" s="63">
        <f t="shared" ca="1" si="2"/>
        <v>358.83</v>
      </c>
      <c r="G42" s="22" t="str">
        <f t="shared" ca="1" si="3"/>
        <v>Active</v>
      </c>
      <c r="H42" s="22"/>
      <c r="J42">
        <v>34</v>
      </c>
      <c r="K42">
        <f ca="1">SUM(F209:F214)</f>
        <v>19635.5</v>
      </c>
      <c r="L42">
        <f ca="1">SUM(D209:D214)</f>
        <v>535.49</v>
      </c>
      <c r="M42">
        <f ca="1">F214</f>
        <v>16000</v>
      </c>
    </row>
    <row r="43" spans="1:13" ht="18" customHeight="1" x14ac:dyDescent="0.35">
      <c r="A43" s="49"/>
      <c r="B43" s="6" t="str">
        <v>Personal Loan</v>
      </c>
      <c r="C43" s="63">
        <f ca="1"/>
        <v>1335.87</v>
      </c>
      <c r="D43" s="63">
        <f ca="1">IF(B43="","", ROUND(C43 * (VLOOKUP(B43, '💳 Debt Input'!$A$4:$G$9, 3, FALSE) / 12), 2))</f>
        <v>6.68</v>
      </c>
      <c r="E43" s="63" cm="1">
        <f t="array" aca="1" ref="E43" ca="1">IF(B43="","", ROUND(MIN(C43+D43, MAX(VLOOKUP(B43,'💳 Debt Input'!$A$4:$G$9,4,FALSE), $F$3 - IFERROR(SUM(OFFSET(E43, -MOD(ROW()-6, 6), 0, MOD(ROW()-6, 6))), 0) - IFERROR(SUM(SUMIF('💳 Debt Input'!$A$4:$A$9, OFFSET(B43, 1, 0, 5-MOD(ROW()-6, 6)), '💳 Debt Input'!$D$4:$D$9)), 0))), 2))</f>
        <v>40</v>
      </c>
      <c r="F43" s="63">
        <f t="shared" ca="1" si="2"/>
        <v>1302.55</v>
      </c>
      <c r="G43" s="22" t="str">
        <f t="shared" ca="1" si="3"/>
        <v>Active</v>
      </c>
      <c r="H43" s="22"/>
      <c r="J43">
        <v>35</v>
      </c>
      <c r="K43">
        <f ca="1">SUM(F215:F220)</f>
        <v>19231.260000000002</v>
      </c>
      <c r="L43">
        <f ca="1">SUM(D215:D220)</f>
        <v>530.76</v>
      </c>
      <c r="M43">
        <f ca="1">F220</f>
        <v>16000</v>
      </c>
    </row>
    <row r="44" spans="1:13" ht="18" customHeight="1" x14ac:dyDescent="0.35">
      <c r="A44" s="49"/>
      <c r="B44" s="6" t="str">
        <v>Auto Loan</v>
      </c>
      <c r="C44" s="63">
        <f ca="1"/>
        <v>3559.38</v>
      </c>
      <c r="D44" s="63">
        <f ca="1">IF(B44="","", ROUND(C44 * (VLOOKUP(B44, '💳 Debt Input'!$A$4:$G$9, 3, FALSE) / 12), 2))</f>
        <v>29.66</v>
      </c>
      <c r="E44" s="63" cm="1">
        <f t="array" aca="1" ref="E44" ca="1">IF(B44="","", ROUND(MIN(C44+D44, MAX(VLOOKUP(B44,'💳 Debt Input'!$A$4:$G$9,4,FALSE), $F$3 - IFERROR(SUM(OFFSET(E44, -MOD(ROW()-6, 6), 0, MOD(ROW()-6, 6))), 0) - IFERROR(SUM(SUMIF('💳 Debt Input'!$A$4:$A$9, OFFSET(B44, 1, 0, 5-MOD(ROW()-6, 6)), '💳 Debt Input'!$D$4:$D$9)), 0))), 2))</f>
        <v>120</v>
      </c>
      <c r="F44" s="63">
        <f t="shared" ca="1" si="2"/>
        <v>3469.04</v>
      </c>
      <c r="G44" s="22" t="str">
        <f t="shared" ca="1" si="3"/>
        <v>Active</v>
      </c>
      <c r="H44" s="22"/>
      <c r="J44">
        <v>36</v>
      </c>
      <c r="K44">
        <f ca="1">SUM(F221:F226)</f>
        <v>18822.16</v>
      </c>
      <c r="L44">
        <f ca="1">SUM(D221:D226)</f>
        <v>525.9</v>
      </c>
      <c r="M44">
        <f ca="1">F226</f>
        <v>16000</v>
      </c>
    </row>
    <row r="45" spans="1:13" ht="18" customHeight="1" x14ac:dyDescent="0.35">
      <c r="A45" s="49"/>
      <c r="B45" s="6" t="str">
        <v>Travel Card</v>
      </c>
      <c r="C45" s="63">
        <f ca="1"/>
        <v>8304.4500000000007</v>
      </c>
      <c r="D45" s="63">
        <f ca="1">IF(B45="","", ROUND(C45 * (VLOOKUP(B45, '💳 Debt Input'!$A$4:$G$9, 3, FALSE) / 12), 2))</f>
        <v>124.57</v>
      </c>
      <c r="E45" s="63" cm="1">
        <f t="array" aca="1" ref="E45" ca="1">IF(B45="","", ROUND(MIN(C45+D45, MAX(VLOOKUP(B45,'💳 Debt Input'!$A$4:$G$9,4,FALSE), $F$3 - IFERROR(SUM(OFFSET(E45, -MOD(ROW()-6, 6), 0, MOD(ROW()-6, 6))), 0) - IFERROR(SUM(SUMIF('💳 Debt Input'!$A$4:$A$9, OFFSET(B45, 1, 0, 5-MOD(ROW()-6, 6)), '💳 Debt Input'!$D$4:$D$9)), 0))), 2))</f>
        <v>270</v>
      </c>
      <c r="F45" s="63">
        <f t="shared" ca="1" si="2"/>
        <v>8159.02</v>
      </c>
      <c r="G45" s="22" t="str">
        <f t="shared" ca="1" si="3"/>
        <v>Active</v>
      </c>
      <c r="H45" s="22"/>
      <c r="J45">
        <v>37</v>
      </c>
      <c r="K45">
        <f ca="1">SUM(F227:F232)</f>
        <v>18408.13</v>
      </c>
      <c r="L45">
        <f ca="1">SUM(D227:D232)</f>
        <v>520.97</v>
      </c>
      <c r="M45">
        <f ca="1">F232</f>
        <v>16000</v>
      </c>
    </row>
    <row r="46" spans="1:13" ht="18" customHeight="1" x14ac:dyDescent="0.35">
      <c r="A46" s="49"/>
      <c r="B46" s="6" t="str">
        <v>Rewards Visa</v>
      </c>
      <c r="C46" s="63">
        <f ca="1"/>
        <v>16000</v>
      </c>
      <c r="D46" s="63">
        <f ca="1">IF(B46="","", ROUND(C46 * (VLOOKUP(B46, '💳 Debt Input'!$A$4:$G$9, 3, FALSE) / 12), 2))</f>
        <v>480</v>
      </c>
      <c r="E46" s="63" cm="1">
        <f t="array" aca="1" ref="E46" ca="1">IF(B46="","", ROUND(MIN(C46+D46, MAX(VLOOKUP(B46,'💳 Debt Input'!$A$4:$G$9,4,FALSE), $F$3 - IFERROR(SUM(OFFSET(E46, -MOD(ROW()-6, 6), 0, MOD(ROW()-6, 6))), 0) - IFERROR(SUM(SUMIF('💳 Debt Input'!$A$4:$A$9, OFFSET(B46, 1, 0, 5-MOD(ROW()-6, 6)), '💳 Debt Input'!$D$4:$D$9)), 0))), 2))</f>
        <v>480</v>
      </c>
      <c r="F46" s="63">
        <f t="shared" ca="1" si="2"/>
        <v>16000</v>
      </c>
      <c r="G46" s="22" t="str">
        <f t="shared" ca="1" si="3"/>
        <v>Active</v>
      </c>
      <c r="H46" s="22"/>
      <c r="J46">
        <v>38</v>
      </c>
      <c r="K46">
        <f ca="1">SUM(F233:F238)</f>
        <v>17989.12</v>
      </c>
      <c r="L46">
        <f ca="1">SUM(D233:D238)</f>
        <v>515.99</v>
      </c>
      <c r="M46">
        <f ca="1">F238</f>
        <v>16000</v>
      </c>
    </row>
    <row r="47" spans="1:13" ht="18" customHeight="1" x14ac:dyDescent="0.35">
      <c r="A47" s="50">
        <v>7</v>
      </c>
      <c r="B47" s="55" t="str" cm="1">
        <f t="array" ref="B47:B52">B41:B46</f>
        <v>Store Card</v>
      </c>
      <c r="C47" s="64" cm="1">
        <f t="array" aca="1" ref="C47:C52" ca="1">F41:F46</f>
        <v>0</v>
      </c>
      <c r="D47" s="64">
        <f ca="1">IF(B47="","", ROUND(C47 * (VLOOKUP(B47, '💳 Debt Input'!$A$4:$G$9, 3, FALSE) / 12), 2))</f>
        <v>0</v>
      </c>
      <c r="E47" s="64" cm="1">
        <f t="array" aca="1" ref="E47" ca="1">IF(B47="","", ROUND(MIN(C47+D47, MAX(VLOOKUP(B47,'💳 Debt Input'!$A$4:$G$9,4,FALSE), $F$3 - IFERROR(SUM(OFFSET(E47, -MOD(ROW()-6, 6), 0, MOD(ROW()-6, 6))), 0) - IFERROR(SUM(SUMIF('💳 Debt Input'!$A$4:$A$9, OFFSET(B47, 1, 0, 5-MOD(ROW()-6, 6)), '💳 Debt Input'!$D$4:$D$9)), 0))), 2))</f>
        <v>0</v>
      </c>
      <c r="F47" s="64">
        <f t="shared" ca="1" si="2"/>
        <v>0</v>
      </c>
      <c r="G47" s="24" t="str">
        <f t="shared" ca="1" si="3"/>
        <v>Paid off</v>
      </c>
      <c r="H47" s="24"/>
      <c r="J47">
        <v>39</v>
      </c>
      <c r="K47">
        <f ca="1">SUM(F239:F244)</f>
        <v>17563.96</v>
      </c>
      <c r="L47">
        <f ca="1">SUM(D239:D244)</f>
        <v>509.84</v>
      </c>
      <c r="M47">
        <f ca="1">F244</f>
        <v>16000</v>
      </c>
    </row>
    <row r="48" spans="1:13" ht="18" customHeight="1" x14ac:dyDescent="0.35">
      <c r="A48" s="47"/>
      <c r="B48" s="8" t="str">
        <v>Medical Bill</v>
      </c>
      <c r="C48" s="61">
        <f ca="1"/>
        <v>358.83</v>
      </c>
      <c r="D48" s="61">
        <f ca="1">IF(B48="","", ROUND(C48 * (VLOOKUP(B48, '💳 Debt Input'!$A$4:$G$9, 3, FALSE) / 12), 2))</f>
        <v>1.2</v>
      </c>
      <c r="E48" s="61" cm="1">
        <f t="array" aca="1" ref="E48" ca="1">IF(B48="","", ROUND(MIN(C48+D48, MAX(VLOOKUP(B48,'💳 Debt Input'!$A$4:$G$9,4,FALSE), $F$3 - IFERROR(SUM(OFFSET(E48, -MOD(ROW()-6, 6), 0, MOD(ROW()-6, 6))), 0) - IFERROR(SUM(SUMIF('💳 Debt Input'!$A$4:$A$9, OFFSET(B48, 1, 0, 5-MOD(ROW()-6, 6)), '💳 Debt Input'!$D$4:$D$9)), 0))), 2))</f>
        <v>25</v>
      </c>
      <c r="F48" s="61">
        <f t="shared" ca="1" si="2"/>
        <v>335.03</v>
      </c>
      <c r="G48" s="19" t="str">
        <f t="shared" ca="1" si="3"/>
        <v>Active</v>
      </c>
      <c r="H48" s="19"/>
      <c r="J48">
        <v>40</v>
      </c>
      <c r="K48">
        <f ca="1">SUM(F245:F250)</f>
        <v>17132.419999999998</v>
      </c>
      <c r="L48">
        <f ca="1">SUM(D245:D250)</f>
        <v>503.46</v>
      </c>
      <c r="M48">
        <f ca="1">F250</f>
        <v>16000</v>
      </c>
    </row>
    <row r="49" spans="1:13" ht="18" customHeight="1" x14ac:dyDescent="0.35">
      <c r="A49" s="47"/>
      <c r="B49" s="8" t="str">
        <v>Personal Loan</v>
      </c>
      <c r="C49" s="61">
        <f ca="1"/>
        <v>1302.55</v>
      </c>
      <c r="D49" s="61">
        <f ca="1">IF(B49="","", ROUND(C49 * (VLOOKUP(B49, '💳 Debt Input'!$A$4:$G$9, 3, FALSE) / 12), 2))</f>
        <v>6.51</v>
      </c>
      <c r="E49" s="61" cm="1">
        <f t="array" aca="1" ref="E49" ca="1">IF(B49="","", ROUND(MIN(C49+D49, MAX(VLOOKUP(B49,'💳 Debt Input'!$A$4:$G$9,4,FALSE), $F$3 - IFERROR(SUM(OFFSET(E49, -MOD(ROW()-6, 6), 0, MOD(ROW()-6, 6))), 0) - IFERROR(SUM(SUMIF('💳 Debt Input'!$A$4:$A$9, OFFSET(B49, 1, 0, 5-MOD(ROW()-6, 6)), '💳 Debt Input'!$D$4:$D$9)), 0))), 2))</f>
        <v>40</v>
      </c>
      <c r="F49" s="61">
        <f t="shared" ca="1" si="2"/>
        <v>1269.06</v>
      </c>
      <c r="G49" s="19" t="str">
        <f t="shared" ca="1" si="3"/>
        <v>Active</v>
      </c>
      <c r="H49" s="19"/>
      <c r="J49">
        <v>41</v>
      </c>
      <c r="K49">
        <f ca="1">SUM(F251:F256)</f>
        <v>16694.41</v>
      </c>
      <c r="L49">
        <f ca="1">SUM(D251:D256)</f>
        <v>496.99</v>
      </c>
      <c r="M49">
        <f ca="1">F256</f>
        <v>16000</v>
      </c>
    </row>
    <row r="50" spans="1:13" ht="18" customHeight="1" x14ac:dyDescent="0.35">
      <c r="A50" s="47"/>
      <c r="B50" s="8" t="str">
        <v>Auto Loan</v>
      </c>
      <c r="C50" s="61">
        <f ca="1"/>
        <v>3469.04</v>
      </c>
      <c r="D50" s="61">
        <f ca="1">IF(B50="","", ROUND(C50 * (VLOOKUP(B50, '💳 Debt Input'!$A$4:$G$9, 3, FALSE) / 12), 2))</f>
        <v>28.91</v>
      </c>
      <c r="E50" s="61" cm="1">
        <f t="array" aca="1" ref="E50" ca="1">IF(B50="","", ROUND(MIN(C50+D50, MAX(VLOOKUP(B50,'💳 Debt Input'!$A$4:$G$9,4,FALSE), $F$3 - IFERROR(SUM(OFFSET(E50, -MOD(ROW()-6, 6), 0, MOD(ROW()-6, 6))), 0) - IFERROR(SUM(SUMIF('💳 Debt Input'!$A$4:$A$9, OFFSET(B50, 1, 0, 5-MOD(ROW()-6, 6)), '💳 Debt Input'!$D$4:$D$9)), 0))), 2))</f>
        <v>120</v>
      </c>
      <c r="F50" s="61">
        <f t="shared" ca="1" si="2"/>
        <v>3377.95</v>
      </c>
      <c r="G50" s="19" t="str">
        <f t="shared" ca="1" si="3"/>
        <v>Active</v>
      </c>
      <c r="H50" s="19"/>
      <c r="J50">
        <v>42</v>
      </c>
      <c r="K50">
        <f ca="1">SUM(F257:F262)</f>
        <v>16249.83</v>
      </c>
      <c r="L50">
        <f ca="1">SUM(D257:D262)</f>
        <v>490.42</v>
      </c>
      <c r="M50">
        <f ca="1">F262</f>
        <v>16000</v>
      </c>
    </row>
    <row r="51" spans="1:13" ht="18" customHeight="1" x14ac:dyDescent="0.35">
      <c r="A51" s="47"/>
      <c r="B51" s="8" t="str">
        <v>Travel Card</v>
      </c>
      <c r="C51" s="61">
        <f ca="1"/>
        <v>8159.02</v>
      </c>
      <c r="D51" s="61">
        <f ca="1">IF(B51="","", ROUND(C51 * (VLOOKUP(B51, '💳 Debt Input'!$A$4:$G$9, 3, FALSE) / 12), 2))</f>
        <v>122.39</v>
      </c>
      <c r="E51" s="61" cm="1">
        <f t="array" aca="1" ref="E51" ca="1">IF(B51="","", ROUND(MIN(C51+D51, MAX(VLOOKUP(B51,'💳 Debt Input'!$A$4:$G$9,4,FALSE), $F$3 - IFERROR(SUM(OFFSET(E51, -MOD(ROW()-6, 6), 0, MOD(ROW()-6, 6))), 0) - IFERROR(SUM(SUMIF('💳 Debt Input'!$A$4:$A$9, OFFSET(B51, 1, 0, 5-MOD(ROW()-6, 6)), '💳 Debt Input'!$D$4:$D$9)), 0))), 2))</f>
        <v>270</v>
      </c>
      <c r="F51" s="61">
        <f t="shared" ca="1" si="2"/>
        <v>8011.41</v>
      </c>
      <c r="G51" s="19" t="str">
        <f t="shared" ca="1" si="3"/>
        <v>Active</v>
      </c>
      <c r="H51" s="19"/>
      <c r="J51">
        <v>43</v>
      </c>
      <c r="K51">
        <f ca="1">SUM(F263:F268)</f>
        <v>15798.58</v>
      </c>
      <c r="L51">
        <f ca="1">SUM(D263:D268)</f>
        <v>483.75</v>
      </c>
      <c r="M51">
        <f ca="1">F268</f>
        <v>15798.58</v>
      </c>
    </row>
    <row r="52" spans="1:13" ht="18" customHeight="1" x14ac:dyDescent="0.35">
      <c r="A52" s="47"/>
      <c r="B52" s="8" t="str">
        <v>Rewards Visa</v>
      </c>
      <c r="C52" s="61">
        <f ca="1"/>
        <v>16000</v>
      </c>
      <c r="D52" s="61">
        <f ca="1">IF(B52="","", ROUND(C52 * (VLOOKUP(B52, '💳 Debt Input'!$A$4:$G$9, 3, FALSE) / 12), 2))</f>
        <v>480</v>
      </c>
      <c r="E52" s="61" cm="1">
        <f t="array" aca="1" ref="E52" ca="1">IF(B52="","", ROUND(MIN(C52+D52, MAX(VLOOKUP(B52,'💳 Debt Input'!$A$4:$G$9,4,FALSE), $F$3 - IFERROR(SUM(OFFSET(E52, -MOD(ROW()-6, 6), 0, MOD(ROW()-6, 6))), 0) - IFERROR(SUM(SUMIF('💳 Debt Input'!$A$4:$A$9, OFFSET(B52, 1, 0, 5-MOD(ROW()-6, 6)), '💳 Debt Input'!$D$4:$D$9)), 0))), 2))</f>
        <v>480</v>
      </c>
      <c r="F52" s="61">
        <f t="shared" ca="1" si="2"/>
        <v>16000</v>
      </c>
      <c r="G52" s="19" t="str">
        <f t="shared" ca="1" si="3"/>
        <v>Active</v>
      </c>
      <c r="H52" s="19"/>
      <c r="J52">
        <v>44</v>
      </c>
      <c r="K52">
        <f ca="1">SUM(F269:F274)</f>
        <v>15337.54</v>
      </c>
      <c r="L52">
        <f ca="1">SUM(D269:D274)</f>
        <v>473.96</v>
      </c>
      <c r="M52">
        <f ca="1">F274</f>
        <v>15337.54</v>
      </c>
    </row>
    <row r="53" spans="1:13" ht="18" customHeight="1" x14ac:dyDescent="0.35">
      <c r="A53" s="48">
        <v>8</v>
      </c>
      <c r="B53" s="54" t="str" cm="1">
        <f t="array" ref="B53:B58">B47:B52</f>
        <v>Store Card</v>
      </c>
      <c r="C53" s="62" cm="1">
        <f t="array" aca="1" ref="C53:C58" ca="1">F47:F52</f>
        <v>0</v>
      </c>
      <c r="D53" s="62">
        <f ca="1">IF(B53="","", ROUND(C53 * (VLOOKUP(B53, '💳 Debt Input'!$A$4:$G$9, 3, FALSE) / 12), 2))</f>
        <v>0</v>
      </c>
      <c r="E53" s="62" cm="1">
        <f t="array" aca="1" ref="E53" ca="1">IF(B53="","", ROUND(MIN(C53+D53, MAX(VLOOKUP(B53,'💳 Debt Input'!$A$4:$G$9,4,FALSE), $F$3 - IFERROR(SUM(OFFSET(E53, -MOD(ROW()-6, 6), 0, MOD(ROW()-6, 6))), 0) - IFERROR(SUM(SUMIF('💳 Debt Input'!$A$4:$A$9, OFFSET(B53, 1, 0, 5-MOD(ROW()-6, 6)), '💳 Debt Input'!$D$4:$D$9)), 0))), 2))</f>
        <v>0</v>
      </c>
      <c r="F53" s="62">
        <f t="shared" ca="1" si="2"/>
        <v>0</v>
      </c>
      <c r="G53" s="21" t="str">
        <f t="shared" ca="1" si="3"/>
        <v>Paid off</v>
      </c>
      <c r="H53" s="21"/>
      <c r="J53">
        <v>45</v>
      </c>
      <c r="K53">
        <f ca="1">SUM(F275:F280)</f>
        <v>14862.67</v>
      </c>
      <c r="L53">
        <f ca="1">SUM(D275:D280)</f>
        <v>460.13</v>
      </c>
      <c r="M53">
        <f ca="1">F280</f>
        <v>14862.67</v>
      </c>
    </row>
    <row r="54" spans="1:13" ht="18" customHeight="1" x14ac:dyDescent="0.35">
      <c r="A54" s="49"/>
      <c r="B54" s="6" t="str">
        <v>Medical Bill</v>
      </c>
      <c r="C54" s="63">
        <f ca="1"/>
        <v>335.03</v>
      </c>
      <c r="D54" s="63">
        <f ca="1">IF(B54="","", ROUND(C54 * (VLOOKUP(B54, '💳 Debt Input'!$A$4:$G$9, 3, FALSE) / 12), 2))</f>
        <v>1.1200000000000001</v>
      </c>
      <c r="E54" s="63" cm="1">
        <f t="array" aca="1" ref="E54" ca="1">IF(B54="","", ROUND(MIN(C54+D54, MAX(VLOOKUP(B54,'💳 Debt Input'!$A$4:$G$9,4,FALSE), $F$3 - IFERROR(SUM(OFFSET(E54, -MOD(ROW()-6, 6), 0, MOD(ROW()-6, 6))), 0) - IFERROR(SUM(SUMIF('💳 Debt Input'!$A$4:$A$9, OFFSET(B54, 1, 0, 5-MOD(ROW()-6, 6)), '💳 Debt Input'!$D$4:$D$9)), 0))), 2))</f>
        <v>25</v>
      </c>
      <c r="F54" s="63">
        <f t="shared" ca="1" si="2"/>
        <v>311.14999999999998</v>
      </c>
      <c r="G54" s="22" t="str">
        <f t="shared" ca="1" si="3"/>
        <v>Active</v>
      </c>
      <c r="H54" s="22"/>
      <c r="J54">
        <v>46</v>
      </c>
      <c r="K54">
        <f ca="1">SUM(F281:F286)</f>
        <v>14373.55</v>
      </c>
      <c r="L54">
        <f ca="1">SUM(D281:D286)</f>
        <v>445.88</v>
      </c>
      <c r="M54">
        <f ca="1">F286</f>
        <v>14373.55</v>
      </c>
    </row>
    <row r="55" spans="1:13" ht="18" customHeight="1" x14ac:dyDescent="0.35">
      <c r="A55" s="49"/>
      <c r="B55" s="6" t="str">
        <v>Personal Loan</v>
      </c>
      <c r="C55" s="63">
        <f ca="1"/>
        <v>1269.06</v>
      </c>
      <c r="D55" s="63">
        <f ca="1">IF(B55="","", ROUND(C55 * (VLOOKUP(B55, '💳 Debt Input'!$A$4:$G$9, 3, FALSE) / 12), 2))</f>
        <v>6.35</v>
      </c>
      <c r="E55" s="63" cm="1">
        <f t="array" aca="1" ref="E55" ca="1">IF(B55="","", ROUND(MIN(C55+D55, MAX(VLOOKUP(B55,'💳 Debt Input'!$A$4:$G$9,4,FALSE), $F$3 - IFERROR(SUM(OFFSET(E55, -MOD(ROW()-6, 6), 0, MOD(ROW()-6, 6))), 0) - IFERROR(SUM(SUMIF('💳 Debt Input'!$A$4:$A$9, OFFSET(B55, 1, 0, 5-MOD(ROW()-6, 6)), '💳 Debt Input'!$D$4:$D$9)), 0))), 2))</f>
        <v>40</v>
      </c>
      <c r="F55" s="63">
        <f t="shared" ca="1" si="2"/>
        <v>1235.4100000000001</v>
      </c>
      <c r="G55" s="22" t="str">
        <f t="shared" ca="1" si="3"/>
        <v>Active</v>
      </c>
      <c r="H55" s="22"/>
      <c r="J55">
        <v>47</v>
      </c>
      <c r="K55">
        <f ca="1">SUM(F287:F292)</f>
        <v>13869.76</v>
      </c>
      <c r="L55">
        <f ca="1">SUM(D287:D292)</f>
        <v>431.21</v>
      </c>
      <c r="M55">
        <f ca="1">F292</f>
        <v>13869.76</v>
      </c>
    </row>
    <row r="56" spans="1:13" ht="18" customHeight="1" x14ac:dyDescent="0.35">
      <c r="A56" s="49"/>
      <c r="B56" s="6" t="str">
        <v>Auto Loan</v>
      </c>
      <c r="C56" s="63">
        <f ca="1"/>
        <v>3377.95</v>
      </c>
      <c r="D56" s="63">
        <f ca="1">IF(B56="","", ROUND(C56 * (VLOOKUP(B56, '💳 Debt Input'!$A$4:$G$9, 3, FALSE) / 12), 2))</f>
        <v>28.15</v>
      </c>
      <c r="E56" s="63" cm="1">
        <f t="array" aca="1" ref="E56" ca="1">IF(B56="","", ROUND(MIN(C56+D56, MAX(VLOOKUP(B56,'💳 Debt Input'!$A$4:$G$9,4,FALSE), $F$3 - IFERROR(SUM(OFFSET(E56, -MOD(ROW()-6, 6), 0, MOD(ROW()-6, 6))), 0) - IFERROR(SUM(SUMIF('💳 Debt Input'!$A$4:$A$9, OFFSET(B56, 1, 0, 5-MOD(ROW()-6, 6)), '💳 Debt Input'!$D$4:$D$9)), 0))), 2))</f>
        <v>120</v>
      </c>
      <c r="F56" s="63">
        <f t="shared" ca="1" si="2"/>
        <v>3286.1</v>
      </c>
      <c r="G56" s="22" t="str">
        <f t="shared" ca="1" si="3"/>
        <v>Active</v>
      </c>
      <c r="H56" s="22"/>
      <c r="J56">
        <v>48</v>
      </c>
      <c r="K56">
        <f ca="1">SUM(F293:F298)</f>
        <v>13350.85</v>
      </c>
      <c r="L56">
        <f ca="1">SUM(D293:D298)</f>
        <v>416.09</v>
      </c>
      <c r="M56">
        <f ca="1">F298</f>
        <v>13350.85</v>
      </c>
    </row>
    <row r="57" spans="1:13" ht="18" customHeight="1" x14ac:dyDescent="0.35">
      <c r="A57" s="49"/>
      <c r="B57" s="6" t="str">
        <v>Travel Card</v>
      </c>
      <c r="C57" s="63">
        <f ca="1"/>
        <v>8011.41</v>
      </c>
      <c r="D57" s="63">
        <f ca="1">IF(B57="","", ROUND(C57 * (VLOOKUP(B57, '💳 Debt Input'!$A$4:$G$9, 3, FALSE) / 12), 2))</f>
        <v>120.17</v>
      </c>
      <c r="E57" s="63" cm="1">
        <f t="array" aca="1" ref="E57" ca="1">IF(B57="","", ROUND(MIN(C57+D57, MAX(VLOOKUP(B57,'💳 Debt Input'!$A$4:$G$9,4,FALSE), $F$3 - IFERROR(SUM(OFFSET(E57, -MOD(ROW()-6, 6), 0, MOD(ROW()-6, 6))), 0) - IFERROR(SUM(SUMIF('💳 Debt Input'!$A$4:$A$9, OFFSET(B57, 1, 0, 5-MOD(ROW()-6, 6)), '💳 Debt Input'!$D$4:$D$9)), 0))), 2))</f>
        <v>270</v>
      </c>
      <c r="F57" s="63">
        <f t="shared" ca="1" si="2"/>
        <v>7861.58</v>
      </c>
      <c r="G57" s="22" t="str">
        <f t="shared" ca="1" si="3"/>
        <v>Active</v>
      </c>
      <c r="H57" s="22"/>
      <c r="J57">
        <v>49</v>
      </c>
      <c r="K57">
        <f ca="1">SUM(F299:F304)</f>
        <v>12816.38</v>
      </c>
      <c r="L57">
        <f ca="1">SUM(D299:D304)</f>
        <v>400.53</v>
      </c>
      <c r="M57">
        <f ca="1">F304</f>
        <v>12816.38</v>
      </c>
    </row>
    <row r="58" spans="1:13" ht="18" customHeight="1" x14ac:dyDescent="0.35">
      <c r="A58" s="49"/>
      <c r="B58" s="6" t="str">
        <v>Rewards Visa</v>
      </c>
      <c r="C58" s="63">
        <f ca="1"/>
        <v>16000</v>
      </c>
      <c r="D58" s="63">
        <f ca="1">IF(B58="","", ROUND(C58 * (VLOOKUP(B58, '💳 Debt Input'!$A$4:$G$9, 3, FALSE) / 12), 2))</f>
        <v>480</v>
      </c>
      <c r="E58" s="63" cm="1">
        <f t="array" aca="1" ref="E58" ca="1">IF(B58="","", ROUND(MIN(C58+D58, MAX(VLOOKUP(B58,'💳 Debt Input'!$A$4:$G$9,4,FALSE), $F$3 - IFERROR(SUM(OFFSET(E58, -MOD(ROW()-6, 6), 0, MOD(ROW()-6, 6))), 0) - IFERROR(SUM(SUMIF('💳 Debt Input'!$A$4:$A$9, OFFSET(B58, 1, 0, 5-MOD(ROW()-6, 6)), '💳 Debt Input'!$D$4:$D$9)), 0))), 2))</f>
        <v>480</v>
      </c>
      <c r="F58" s="63">
        <f t="shared" ca="1" si="2"/>
        <v>16000</v>
      </c>
      <c r="G58" s="22" t="str">
        <f t="shared" ca="1" si="3"/>
        <v>Active</v>
      </c>
      <c r="H58" s="22"/>
      <c r="J58">
        <v>50</v>
      </c>
      <c r="K58">
        <f ca="1">SUM(F305:F310)</f>
        <v>12265.87</v>
      </c>
      <c r="L58">
        <f ca="1">SUM(D305:D310)</f>
        <v>384.49</v>
      </c>
      <c r="M58">
        <f ca="1">F310</f>
        <v>12265.87</v>
      </c>
    </row>
    <row r="59" spans="1:13" ht="18" customHeight="1" x14ac:dyDescent="0.35">
      <c r="A59" s="51">
        <v>9</v>
      </c>
      <c r="B59" s="56" t="str" cm="1">
        <f t="array" ref="B59:B64">B53:B58</f>
        <v>Store Card</v>
      </c>
      <c r="C59" s="65" cm="1">
        <f t="array" aca="1" ref="C59:C64" ca="1">F53:F58</f>
        <v>0</v>
      </c>
      <c r="D59" s="65">
        <f ca="1">IF(B59="","", ROUND(C59 * (VLOOKUP(B59, '💳 Debt Input'!$A$4:$G$9, 3, FALSE) / 12), 2))</f>
        <v>0</v>
      </c>
      <c r="E59" s="65" cm="1">
        <f t="array" aca="1" ref="E59" ca="1">IF(B59="","", ROUND(MIN(C59+D59, MAX(VLOOKUP(B59,'💳 Debt Input'!$A$4:$G$9,4,FALSE), $F$3 - IFERROR(SUM(OFFSET(E59, -MOD(ROW()-6, 6), 0, MOD(ROW()-6, 6))), 0) - IFERROR(SUM(SUMIF('💳 Debt Input'!$A$4:$A$9, OFFSET(B59, 1, 0, 5-MOD(ROW()-6, 6)), '💳 Debt Input'!$D$4:$D$9)), 0))), 2))</f>
        <v>0</v>
      </c>
      <c r="F59" s="65">
        <f t="shared" ca="1" si="2"/>
        <v>0</v>
      </c>
      <c r="G59" s="25" t="str">
        <f t="shared" ca="1" si="3"/>
        <v>Paid off</v>
      </c>
      <c r="H59" s="25"/>
      <c r="J59">
        <v>51</v>
      </c>
      <c r="K59">
        <f ca="1">SUM(F311:F316)</f>
        <v>11698.85</v>
      </c>
      <c r="L59">
        <f ca="1">SUM(D311:D316)</f>
        <v>367.98</v>
      </c>
      <c r="M59">
        <f ca="1">F316</f>
        <v>11698.85</v>
      </c>
    </row>
    <row r="60" spans="1:13" ht="18" customHeight="1" x14ac:dyDescent="0.35">
      <c r="A60" s="47"/>
      <c r="B60" s="8" t="str">
        <v>Medical Bill</v>
      </c>
      <c r="C60" s="61">
        <f ca="1"/>
        <v>311.14999999999998</v>
      </c>
      <c r="D60" s="61">
        <f ca="1">IF(B60="","", ROUND(C60 * (VLOOKUP(B60, '💳 Debt Input'!$A$4:$G$9, 3, FALSE) / 12), 2))</f>
        <v>1.04</v>
      </c>
      <c r="E60" s="61" cm="1">
        <f t="array" aca="1" ref="E60" ca="1">IF(B60="","", ROUND(MIN(C60+D60, MAX(VLOOKUP(B60,'💳 Debt Input'!$A$4:$G$9,4,FALSE), $F$3 - IFERROR(SUM(OFFSET(E60, -MOD(ROW()-6, 6), 0, MOD(ROW()-6, 6))), 0) - IFERROR(SUM(SUMIF('💳 Debt Input'!$A$4:$A$9, OFFSET(B60, 1, 0, 5-MOD(ROW()-6, 6)), '💳 Debt Input'!$D$4:$D$9)), 0))), 2))</f>
        <v>25</v>
      </c>
      <c r="F60" s="61">
        <f t="shared" ca="1" si="2"/>
        <v>287.19</v>
      </c>
      <c r="G60" s="19" t="str">
        <f t="shared" ca="1" si="3"/>
        <v>Active</v>
      </c>
      <c r="H60" s="19"/>
      <c r="J60">
        <v>52</v>
      </c>
      <c r="K60">
        <f ca="1">SUM(F317:F322)</f>
        <v>11114.82</v>
      </c>
      <c r="L60">
        <f ca="1">SUM(D317:D322)</f>
        <v>350.97</v>
      </c>
      <c r="M60">
        <f ca="1">F322</f>
        <v>11114.82</v>
      </c>
    </row>
    <row r="61" spans="1:13" ht="18" customHeight="1" x14ac:dyDescent="0.35">
      <c r="A61" s="47"/>
      <c r="B61" s="8" t="str">
        <v>Personal Loan</v>
      </c>
      <c r="C61" s="61">
        <f ca="1"/>
        <v>1235.4100000000001</v>
      </c>
      <c r="D61" s="61">
        <f ca="1">IF(B61="","", ROUND(C61 * (VLOOKUP(B61, '💳 Debt Input'!$A$4:$G$9, 3, FALSE) / 12), 2))</f>
        <v>6.18</v>
      </c>
      <c r="E61" s="61" cm="1">
        <f t="array" aca="1" ref="E61" ca="1">IF(B61="","", ROUND(MIN(C61+D61, MAX(VLOOKUP(B61,'💳 Debt Input'!$A$4:$G$9,4,FALSE), $F$3 - IFERROR(SUM(OFFSET(E61, -MOD(ROW()-6, 6), 0, MOD(ROW()-6, 6))), 0) - IFERROR(SUM(SUMIF('💳 Debt Input'!$A$4:$A$9, OFFSET(B61, 1, 0, 5-MOD(ROW()-6, 6)), '💳 Debt Input'!$D$4:$D$9)), 0))), 2))</f>
        <v>40</v>
      </c>
      <c r="F61" s="61">
        <f t="shared" ca="1" si="2"/>
        <v>1201.5899999999999</v>
      </c>
      <c r="G61" s="19" t="str">
        <f t="shared" ca="1" si="3"/>
        <v>Active</v>
      </c>
      <c r="H61" s="19"/>
      <c r="J61">
        <v>53</v>
      </c>
      <c r="K61">
        <f ca="1">SUM(F323:F328)</f>
        <v>10513.26</v>
      </c>
      <c r="L61">
        <f ca="1">SUM(D323:D328)</f>
        <v>333.44</v>
      </c>
      <c r="M61">
        <f ca="1">F328</f>
        <v>10513.26</v>
      </c>
    </row>
    <row r="62" spans="1:13" ht="18" customHeight="1" x14ac:dyDescent="0.35">
      <c r="A62" s="47"/>
      <c r="B62" s="8" t="str">
        <v>Auto Loan</v>
      </c>
      <c r="C62" s="61">
        <f ca="1"/>
        <v>3286.1</v>
      </c>
      <c r="D62" s="61">
        <f ca="1">IF(B62="","", ROUND(C62 * (VLOOKUP(B62, '💳 Debt Input'!$A$4:$G$9, 3, FALSE) / 12), 2))</f>
        <v>27.38</v>
      </c>
      <c r="E62" s="61" cm="1">
        <f t="array" aca="1" ref="E62" ca="1">IF(B62="","", ROUND(MIN(C62+D62, MAX(VLOOKUP(B62,'💳 Debt Input'!$A$4:$G$9,4,FALSE), $F$3 - IFERROR(SUM(OFFSET(E62, -MOD(ROW()-6, 6), 0, MOD(ROW()-6, 6))), 0) - IFERROR(SUM(SUMIF('💳 Debt Input'!$A$4:$A$9, OFFSET(B62, 1, 0, 5-MOD(ROW()-6, 6)), '💳 Debt Input'!$D$4:$D$9)), 0))), 2))</f>
        <v>120</v>
      </c>
      <c r="F62" s="61">
        <f t="shared" ca="1" si="2"/>
        <v>3193.48</v>
      </c>
      <c r="G62" s="19" t="str">
        <f t="shared" ca="1" si="3"/>
        <v>Active</v>
      </c>
      <c r="H62" s="19"/>
      <c r="J62">
        <v>54</v>
      </c>
      <c r="K62">
        <f ca="1">SUM(F329:F334)</f>
        <v>9893.66</v>
      </c>
      <c r="L62">
        <f ca="1">SUM(D329:D334)</f>
        <v>315.39999999999998</v>
      </c>
      <c r="M62">
        <f ca="1">F334</f>
        <v>9893.66</v>
      </c>
    </row>
    <row r="63" spans="1:13" ht="18" customHeight="1" x14ac:dyDescent="0.35">
      <c r="A63" s="47"/>
      <c r="B63" s="8" t="str">
        <v>Travel Card</v>
      </c>
      <c r="C63" s="61">
        <f ca="1"/>
        <v>7861.58</v>
      </c>
      <c r="D63" s="61">
        <f ca="1">IF(B63="","", ROUND(C63 * (VLOOKUP(B63, '💳 Debt Input'!$A$4:$G$9, 3, FALSE) / 12), 2))</f>
        <v>117.92</v>
      </c>
      <c r="E63" s="61" cm="1">
        <f t="array" aca="1" ref="E63" ca="1">IF(B63="","", ROUND(MIN(C63+D63, MAX(VLOOKUP(B63,'💳 Debt Input'!$A$4:$G$9,4,FALSE), $F$3 - IFERROR(SUM(OFFSET(E63, -MOD(ROW()-6, 6), 0, MOD(ROW()-6, 6))), 0) - IFERROR(SUM(SUMIF('💳 Debt Input'!$A$4:$A$9, OFFSET(B63, 1, 0, 5-MOD(ROW()-6, 6)), '💳 Debt Input'!$D$4:$D$9)), 0))), 2))</f>
        <v>270</v>
      </c>
      <c r="F63" s="61">
        <f t="shared" ca="1" si="2"/>
        <v>7709.5</v>
      </c>
      <c r="G63" s="19" t="str">
        <f t="shared" ca="1" si="3"/>
        <v>Active</v>
      </c>
      <c r="H63" s="19"/>
      <c r="J63">
        <v>55</v>
      </c>
      <c r="K63">
        <f ca="1">SUM(F335:F340)</f>
        <v>9255.4699999999993</v>
      </c>
      <c r="L63">
        <f ca="1">SUM(D335:D340)</f>
        <v>296.81</v>
      </c>
      <c r="M63">
        <f ca="1">F340</f>
        <v>9255.4699999999993</v>
      </c>
    </row>
    <row r="64" spans="1:13" ht="18" customHeight="1" x14ac:dyDescent="0.35">
      <c r="A64" s="47"/>
      <c r="B64" s="8" t="str">
        <v>Rewards Visa</v>
      </c>
      <c r="C64" s="61">
        <f ca="1"/>
        <v>16000</v>
      </c>
      <c r="D64" s="61">
        <f ca="1">IF(B64="","", ROUND(C64 * (VLOOKUP(B64, '💳 Debt Input'!$A$4:$G$9, 3, FALSE) / 12), 2))</f>
        <v>480</v>
      </c>
      <c r="E64" s="61" cm="1">
        <f t="array" aca="1" ref="E64" ca="1">IF(B64="","", ROUND(MIN(C64+D64, MAX(VLOOKUP(B64,'💳 Debt Input'!$A$4:$G$9,4,FALSE), $F$3 - IFERROR(SUM(OFFSET(E64, -MOD(ROW()-6, 6), 0, MOD(ROW()-6, 6))), 0) - IFERROR(SUM(SUMIF('💳 Debt Input'!$A$4:$A$9, OFFSET(B64, 1, 0, 5-MOD(ROW()-6, 6)), '💳 Debt Input'!$D$4:$D$9)), 0))), 2))</f>
        <v>480</v>
      </c>
      <c r="F64" s="61">
        <f t="shared" ca="1" si="2"/>
        <v>16000</v>
      </c>
      <c r="G64" s="19" t="str">
        <f t="shared" ca="1" si="3"/>
        <v>Active</v>
      </c>
      <c r="H64" s="19"/>
      <c r="J64">
        <v>56</v>
      </c>
      <c r="K64">
        <f ca="1">SUM(F341:F346)</f>
        <v>8598.1299999999992</v>
      </c>
      <c r="L64">
        <f ca="1">SUM(D341:D346)</f>
        <v>277.66000000000003</v>
      </c>
      <c r="M64">
        <f ca="1">F346</f>
        <v>8598.1299999999992</v>
      </c>
    </row>
    <row r="65" spans="1:13" ht="18" customHeight="1" x14ac:dyDescent="0.35">
      <c r="A65" s="51">
        <v>10</v>
      </c>
      <c r="B65" s="56" t="str" cm="1">
        <f t="array" ref="B65:B70">B59:B64</f>
        <v>Store Card</v>
      </c>
      <c r="C65" s="65" cm="1">
        <f t="array" aca="1" ref="C65:C70" ca="1">F59:F64</f>
        <v>0</v>
      </c>
      <c r="D65" s="65">
        <f ca="1">IF(B65="","", ROUND(C65 * (VLOOKUP(B65, '💳 Debt Input'!$A$4:$G$9, 3, FALSE) / 12), 2))</f>
        <v>0</v>
      </c>
      <c r="E65" s="65" cm="1">
        <f t="array" aca="1" ref="E65" ca="1">IF(B65="","", ROUND(MIN(C65+D65, MAX(VLOOKUP(B65,'💳 Debt Input'!$A$4:$G$9,4,FALSE), $F$3 - IFERROR(SUM(OFFSET(E65, -MOD(ROW()-6, 6), 0, MOD(ROW()-6, 6))), 0) - IFERROR(SUM(SUMIF('💳 Debt Input'!$A$4:$A$9, OFFSET(B65, 1, 0, 5-MOD(ROW()-6, 6)), '💳 Debt Input'!$D$4:$D$9)), 0))), 2))</f>
        <v>0</v>
      </c>
      <c r="F65" s="65">
        <f t="shared" ca="1" si="2"/>
        <v>0</v>
      </c>
      <c r="G65" s="25" t="str">
        <f t="shared" ca="1" si="3"/>
        <v>Paid off</v>
      </c>
      <c r="H65" s="25"/>
      <c r="J65">
        <v>57</v>
      </c>
      <c r="K65">
        <f ca="1">SUM(F347:F352)</f>
        <v>7921.07</v>
      </c>
      <c r="L65">
        <f ca="1">SUM(D347:D352)</f>
        <v>257.94</v>
      </c>
      <c r="M65">
        <f ca="1">F352</f>
        <v>7921.07</v>
      </c>
    </row>
    <row r="66" spans="1:13" ht="18" customHeight="1" x14ac:dyDescent="0.35">
      <c r="A66" s="49"/>
      <c r="B66" s="6" t="str">
        <v>Medical Bill</v>
      </c>
      <c r="C66" s="63">
        <f ca="1"/>
        <v>287.19</v>
      </c>
      <c r="D66" s="63">
        <f ca="1">IF(B66="","", ROUND(C66 * (VLOOKUP(B66, '💳 Debt Input'!$A$4:$G$9, 3, FALSE) / 12), 2))</f>
        <v>0.96</v>
      </c>
      <c r="E66" s="63" cm="1">
        <f t="array" aca="1" ref="E66" ca="1">IF(B66="","", ROUND(MIN(C66+D66, MAX(VLOOKUP(B66,'💳 Debt Input'!$A$4:$G$9,4,FALSE), $F$3 - IFERROR(SUM(OFFSET(E66, -MOD(ROW()-6, 6), 0, MOD(ROW()-6, 6))), 0) - IFERROR(SUM(SUMIF('💳 Debt Input'!$A$4:$A$9, OFFSET(B66, 1, 0, 5-MOD(ROW()-6, 6)), '💳 Debt Input'!$D$4:$D$9)), 0))), 2))</f>
        <v>25</v>
      </c>
      <c r="F66" s="63">
        <f t="shared" ca="1" si="2"/>
        <v>263.14999999999998</v>
      </c>
      <c r="G66" s="22" t="str">
        <f t="shared" ca="1" si="3"/>
        <v>Active</v>
      </c>
      <c r="H66" s="22"/>
      <c r="J66">
        <v>58</v>
      </c>
      <c r="K66">
        <f ca="1">SUM(F353:F358)</f>
        <v>7223.7</v>
      </c>
      <c r="L66">
        <f ca="1">SUM(D353:D358)</f>
        <v>237.63</v>
      </c>
      <c r="M66">
        <f ca="1">F358</f>
        <v>7223.7</v>
      </c>
    </row>
    <row r="67" spans="1:13" ht="18" customHeight="1" x14ac:dyDescent="0.35">
      <c r="A67" s="49"/>
      <c r="B67" s="6" t="str">
        <v>Personal Loan</v>
      </c>
      <c r="C67" s="63">
        <f ca="1"/>
        <v>1201.5899999999999</v>
      </c>
      <c r="D67" s="63">
        <f ca="1">IF(B67="","", ROUND(C67 * (VLOOKUP(B67, '💳 Debt Input'!$A$4:$G$9, 3, FALSE) / 12), 2))</f>
        <v>6.01</v>
      </c>
      <c r="E67" s="63" cm="1">
        <f t="array" aca="1" ref="E67" ca="1">IF(B67="","", ROUND(MIN(C67+D67, MAX(VLOOKUP(B67,'💳 Debt Input'!$A$4:$G$9,4,FALSE), $F$3 - IFERROR(SUM(OFFSET(E67, -MOD(ROW()-6, 6), 0, MOD(ROW()-6, 6))), 0) - IFERROR(SUM(SUMIF('💳 Debt Input'!$A$4:$A$9, OFFSET(B67, 1, 0, 5-MOD(ROW()-6, 6)), '💳 Debt Input'!$D$4:$D$9)), 0))), 2))</f>
        <v>40</v>
      </c>
      <c r="F67" s="63">
        <f t="shared" ca="1" si="2"/>
        <v>1167.5999999999999</v>
      </c>
      <c r="G67" s="22" t="str">
        <f t="shared" ca="1" si="3"/>
        <v>Active</v>
      </c>
      <c r="H67" s="22"/>
      <c r="J67">
        <v>59</v>
      </c>
      <c r="K67">
        <f ca="1">SUM(F359:F364)</f>
        <v>6505.41</v>
      </c>
      <c r="L67">
        <f ca="1">SUM(D359:D364)</f>
        <v>216.71</v>
      </c>
      <c r="M67">
        <f ca="1">F364</f>
        <v>6505.41</v>
      </c>
    </row>
    <row r="68" spans="1:13" ht="18" customHeight="1" x14ac:dyDescent="0.35">
      <c r="A68" s="49"/>
      <c r="B68" s="6" t="str">
        <v>Auto Loan</v>
      </c>
      <c r="C68" s="63">
        <f ca="1"/>
        <v>3193.48</v>
      </c>
      <c r="D68" s="63">
        <f ca="1">IF(B68="","", ROUND(C68 * (VLOOKUP(B68, '💳 Debt Input'!$A$4:$G$9, 3, FALSE) / 12), 2))</f>
        <v>26.61</v>
      </c>
      <c r="E68" s="63" cm="1">
        <f t="array" aca="1" ref="E68" ca="1">IF(B68="","", ROUND(MIN(C68+D68, MAX(VLOOKUP(B68,'💳 Debt Input'!$A$4:$G$9,4,FALSE), $F$3 - IFERROR(SUM(OFFSET(E68, -MOD(ROW()-6, 6), 0, MOD(ROW()-6, 6))), 0) - IFERROR(SUM(SUMIF('💳 Debt Input'!$A$4:$A$9, OFFSET(B68, 1, 0, 5-MOD(ROW()-6, 6)), '💳 Debt Input'!$D$4:$D$9)), 0))), 2))</f>
        <v>120</v>
      </c>
      <c r="F68" s="63">
        <f t="shared" ca="1" si="2"/>
        <v>3100.09</v>
      </c>
      <c r="G68" s="22" t="str">
        <f t="shared" ca="1" si="3"/>
        <v>Active</v>
      </c>
      <c r="H68" s="22"/>
      <c r="J68">
        <v>60</v>
      </c>
      <c r="K68">
        <f ca="1">SUM(F365:F370)</f>
        <v>5765.57</v>
      </c>
      <c r="L68">
        <f ca="1">SUM(D365:D370)</f>
        <v>195.16</v>
      </c>
      <c r="M68">
        <f ca="1">F370</f>
        <v>5765.57</v>
      </c>
    </row>
    <row r="69" spans="1:13" ht="18" customHeight="1" x14ac:dyDescent="0.35">
      <c r="A69" s="49"/>
      <c r="B69" s="6" t="str">
        <v>Travel Card</v>
      </c>
      <c r="C69" s="63">
        <f ca="1"/>
        <v>7709.5</v>
      </c>
      <c r="D69" s="63">
        <f ca="1">IF(B69="","", ROUND(C69 * (VLOOKUP(B69, '💳 Debt Input'!$A$4:$G$9, 3, FALSE) / 12), 2))</f>
        <v>115.64</v>
      </c>
      <c r="E69" s="63" cm="1">
        <f t="array" aca="1" ref="E69" ca="1">IF(B69="","", ROUND(MIN(C69+D69, MAX(VLOOKUP(B69,'💳 Debt Input'!$A$4:$G$9,4,FALSE), $F$3 - IFERROR(SUM(OFFSET(E69, -MOD(ROW()-6, 6), 0, MOD(ROW()-6, 6))), 0) - IFERROR(SUM(SUMIF('💳 Debt Input'!$A$4:$A$9, OFFSET(B69, 1, 0, 5-MOD(ROW()-6, 6)), '💳 Debt Input'!$D$4:$D$9)), 0))), 2))</f>
        <v>270</v>
      </c>
      <c r="F69" s="63">
        <f t="shared" ca="1" si="2"/>
        <v>7555.14</v>
      </c>
      <c r="G69" s="22" t="str">
        <f t="shared" ca="1" si="3"/>
        <v>Active</v>
      </c>
      <c r="H69" s="22"/>
      <c r="J69">
        <v>61</v>
      </c>
      <c r="K69">
        <f ca="1">SUM(F371:F376)</f>
        <v>5003.54</v>
      </c>
      <c r="L69">
        <f ca="1">SUM(D371:D376)</f>
        <v>172.97</v>
      </c>
      <c r="M69">
        <f ca="1">F376</f>
        <v>5003.54</v>
      </c>
    </row>
    <row r="70" spans="1:13" ht="18" customHeight="1" x14ac:dyDescent="0.35">
      <c r="A70" s="49"/>
      <c r="B70" s="6" t="str">
        <v>Rewards Visa</v>
      </c>
      <c r="C70" s="63">
        <f ca="1"/>
        <v>16000</v>
      </c>
      <c r="D70" s="63">
        <f ca="1">IF(B70="","", ROUND(C70 * (VLOOKUP(B70, '💳 Debt Input'!$A$4:$G$9, 3, FALSE) / 12), 2))</f>
        <v>480</v>
      </c>
      <c r="E70" s="63" cm="1">
        <f t="array" aca="1" ref="E70" ca="1">IF(B70="","", ROUND(MIN(C70+D70, MAX(VLOOKUP(B70,'💳 Debt Input'!$A$4:$G$9,4,FALSE), $F$3 - IFERROR(SUM(OFFSET(E70, -MOD(ROW()-6, 6), 0, MOD(ROW()-6, 6))), 0) - IFERROR(SUM(SUMIF('💳 Debt Input'!$A$4:$A$9, OFFSET(B70, 1, 0, 5-MOD(ROW()-6, 6)), '💳 Debt Input'!$D$4:$D$9)), 0))), 2))</f>
        <v>480</v>
      </c>
      <c r="F70" s="63">
        <f t="shared" ca="1" si="2"/>
        <v>16000</v>
      </c>
      <c r="G70" s="22" t="str">
        <f t="shared" ca="1" si="3"/>
        <v>Active</v>
      </c>
      <c r="H70" s="22"/>
      <c r="J70">
        <v>62</v>
      </c>
      <c r="K70">
        <f ca="1">SUM(F377:F382)</f>
        <v>4218.6499999999996</v>
      </c>
      <c r="L70">
        <f ca="1">SUM(D377:D382)</f>
        <v>150.11000000000001</v>
      </c>
      <c r="M70">
        <f ca="1">F382</f>
        <v>4218.6499999999996</v>
      </c>
    </row>
    <row r="71" spans="1:13" ht="18" customHeight="1" x14ac:dyDescent="0.35">
      <c r="A71" s="51">
        <v>11</v>
      </c>
      <c r="B71" s="56" t="str" cm="1">
        <f t="array" ref="B71:B76">B65:B70</f>
        <v>Store Card</v>
      </c>
      <c r="C71" s="65" cm="1">
        <f t="array" aca="1" ref="C71:C76" ca="1">F65:F70</f>
        <v>0</v>
      </c>
      <c r="D71" s="65">
        <f ca="1">IF(B71="","", ROUND(C71 * (VLOOKUP(B71, '💳 Debt Input'!$A$4:$G$9, 3, FALSE) / 12), 2))</f>
        <v>0</v>
      </c>
      <c r="E71" s="65" cm="1">
        <f t="array" aca="1" ref="E71" ca="1">IF(B71="","", ROUND(MIN(C71+D71, MAX(VLOOKUP(B71,'💳 Debt Input'!$A$4:$G$9,4,FALSE), $F$3 - IFERROR(SUM(OFFSET(E71, -MOD(ROW()-6, 6), 0, MOD(ROW()-6, 6))), 0) - IFERROR(SUM(SUMIF('💳 Debt Input'!$A$4:$A$9, OFFSET(B71, 1, 0, 5-MOD(ROW()-6, 6)), '💳 Debt Input'!$D$4:$D$9)), 0))), 2))</f>
        <v>0</v>
      </c>
      <c r="F71" s="65">
        <f t="shared" ca="1" si="2"/>
        <v>0</v>
      </c>
      <c r="G71" s="25" t="str">
        <f t="shared" ca="1" si="3"/>
        <v>Paid off</v>
      </c>
      <c r="H71" s="25"/>
      <c r="J71">
        <v>63</v>
      </c>
      <c r="K71">
        <f ca="1">SUM(F383:F388)</f>
        <v>3410.21</v>
      </c>
      <c r="L71">
        <f ca="1">SUM(D383:D388)</f>
        <v>126.56</v>
      </c>
      <c r="M71">
        <f ca="1">F388</f>
        <v>3410.21</v>
      </c>
    </row>
    <row r="72" spans="1:13" ht="18" customHeight="1" x14ac:dyDescent="0.35">
      <c r="A72" s="47"/>
      <c r="B72" s="8" t="str">
        <v>Medical Bill</v>
      </c>
      <c r="C72" s="61">
        <f ca="1"/>
        <v>263.14999999999998</v>
      </c>
      <c r="D72" s="61">
        <f ca="1">IF(B72="","", ROUND(C72 * (VLOOKUP(B72, '💳 Debt Input'!$A$4:$G$9, 3, FALSE) / 12), 2))</f>
        <v>0.88</v>
      </c>
      <c r="E72" s="61" cm="1">
        <f t="array" aca="1" ref="E72" ca="1">IF(B72="","", ROUND(MIN(C72+D72, MAX(VLOOKUP(B72,'💳 Debt Input'!$A$4:$G$9,4,FALSE), $F$3 - IFERROR(SUM(OFFSET(E72, -MOD(ROW()-6, 6), 0, MOD(ROW()-6, 6))), 0) - IFERROR(SUM(SUMIF('💳 Debt Input'!$A$4:$A$9, OFFSET(B72, 1, 0, 5-MOD(ROW()-6, 6)), '💳 Debt Input'!$D$4:$D$9)), 0))), 2))</f>
        <v>25</v>
      </c>
      <c r="F72" s="61">
        <f t="shared" ca="1" si="2"/>
        <v>239.03</v>
      </c>
      <c r="G72" s="19" t="str">
        <f t="shared" ca="1" si="3"/>
        <v>Active</v>
      </c>
      <c r="H72" s="19"/>
      <c r="J72">
        <v>64</v>
      </c>
      <c r="K72">
        <f ca="1">SUM(F389:F394)</f>
        <v>2552.52</v>
      </c>
      <c r="L72">
        <f ca="1">SUM(D389:D394)</f>
        <v>102.31</v>
      </c>
      <c r="M72">
        <f ca="1">F394</f>
        <v>2552.52</v>
      </c>
    </row>
    <row r="73" spans="1:13" ht="18" customHeight="1" x14ac:dyDescent="0.35">
      <c r="A73" s="47"/>
      <c r="B73" s="8" t="str">
        <v>Personal Loan</v>
      </c>
      <c r="C73" s="61">
        <f ca="1"/>
        <v>1167.5999999999999</v>
      </c>
      <c r="D73" s="61">
        <f ca="1">IF(B73="","", ROUND(C73 * (VLOOKUP(B73, '💳 Debt Input'!$A$4:$G$9, 3, FALSE) / 12), 2))</f>
        <v>5.84</v>
      </c>
      <c r="E73" s="61" cm="1">
        <f t="array" aca="1" ref="E73" ca="1">IF(B73="","", ROUND(MIN(C73+D73, MAX(VLOOKUP(B73,'💳 Debt Input'!$A$4:$G$9,4,FALSE), $F$3 - IFERROR(SUM(OFFSET(E73, -MOD(ROW()-6, 6), 0, MOD(ROW()-6, 6))), 0) - IFERROR(SUM(SUMIF('💳 Debt Input'!$A$4:$A$9, OFFSET(B73, 1, 0, 5-MOD(ROW()-6, 6)), '💳 Debt Input'!$D$4:$D$9)), 0))), 2))</f>
        <v>40</v>
      </c>
      <c r="F73" s="61">
        <f t="shared" ca="1" si="2"/>
        <v>1133.44</v>
      </c>
      <c r="G73" s="19" t="str">
        <f t="shared" ca="1" si="3"/>
        <v>Active</v>
      </c>
      <c r="H73" s="19"/>
    </row>
    <row r="74" spans="1:13" ht="18" customHeight="1" x14ac:dyDescent="0.35">
      <c r="A74" s="47"/>
      <c r="B74" s="8" t="str">
        <v>Auto Loan</v>
      </c>
      <c r="C74" s="61">
        <f ca="1"/>
        <v>3100.09</v>
      </c>
      <c r="D74" s="61">
        <f ca="1">IF(B74="","", ROUND(C74 * (VLOOKUP(B74, '💳 Debt Input'!$A$4:$G$9, 3, FALSE) / 12), 2))</f>
        <v>25.83</v>
      </c>
      <c r="E74" s="61" cm="1">
        <f t="array" aca="1" ref="E74" ca="1">IF(B74="","", ROUND(MIN(C74+D74, MAX(VLOOKUP(B74,'💳 Debt Input'!$A$4:$G$9,4,FALSE), $F$3 - IFERROR(SUM(OFFSET(E74, -MOD(ROW()-6, 6), 0, MOD(ROW()-6, 6))), 0) - IFERROR(SUM(SUMIF('💳 Debt Input'!$A$4:$A$9, OFFSET(B74, 1, 0, 5-MOD(ROW()-6, 6)), '💳 Debt Input'!$D$4:$D$9)), 0))), 2))</f>
        <v>120</v>
      </c>
      <c r="F74" s="61">
        <f t="shared" ca="1" si="2"/>
        <v>3005.92</v>
      </c>
      <c r="G74" s="19" t="str">
        <f t="shared" ca="1" si="3"/>
        <v>Active</v>
      </c>
      <c r="H74" s="19"/>
    </row>
    <row r="75" spans="1:13" ht="18" customHeight="1" x14ac:dyDescent="0.35">
      <c r="A75" s="47"/>
      <c r="B75" s="8" t="str">
        <v>Travel Card</v>
      </c>
      <c r="C75" s="61">
        <f ca="1"/>
        <v>7555.14</v>
      </c>
      <c r="D75" s="61">
        <f ca="1">IF(B75="","", ROUND(C75 * (VLOOKUP(B75, '💳 Debt Input'!$A$4:$G$9, 3, FALSE) / 12), 2))</f>
        <v>113.33</v>
      </c>
      <c r="E75" s="61" cm="1">
        <f t="array" aca="1" ref="E75" ca="1">IF(B75="","", ROUND(MIN(C75+D75, MAX(VLOOKUP(B75,'💳 Debt Input'!$A$4:$G$9,4,FALSE), $F$3 - IFERROR(SUM(OFFSET(E75, -MOD(ROW()-6, 6), 0, MOD(ROW()-6, 6))), 0) - IFERROR(SUM(SUMIF('💳 Debt Input'!$A$4:$A$9, OFFSET(B75, 1, 0, 5-MOD(ROW()-6, 6)), '💳 Debt Input'!$D$4:$D$9)), 0))), 2))</f>
        <v>270</v>
      </c>
      <c r="F75" s="61">
        <f t="shared" ca="1" si="2"/>
        <v>7398.47</v>
      </c>
      <c r="G75" s="19" t="str">
        <f t="shared" ca="1" si="3"/>
        <v>Active</v>
      </c>
      <c r="H75" s="19"/>
    </row>
    <row r="76" spans="1:13" ht="18" customHeight="1" x14ac:dyDescent="0.35">
      <c r="A76" s="47"/>
      <c r="B76" s="8" t="str">
        <v>Rewards Visa</v>
      </c>
      <c r="C76" s="61">
        <f ca="1"/>
        <v>16000</v>
      </c>
      <c r="D76" s="61">
        <f ca="1">IF(B76="","", ROUND(C76 * (VLOOKUP(B76, '💳 Debt Input'!$A$4:$G$9, 3, FALSE) / 12), 2))</f>
        <v>480</v>
      </c>
      <c r="E76" s="61" cm="1">
        <f t="array" aca="1" ref="E76" ca="1">IF(B76="","", ROUND(MIN(C76+D76, MAX(VLOOKUP(B76,'💳 Debt Input'!$A$4:$G$9,4,FALSE), $F$3 - IFERROR(SUM(OFFSET(E76, -MOD(ROW()-6, 6), 0, MOD(ROW()-6, 6))), 0) - IFERROR(SUM(SUMIF('💳 Debt Input'!$A$4:$A$9, OFFSET(B76, 1, 0, 5-MOD(ROW()-6, 6)), '💳 Debt Input'!$D$4:$D$9)), 0))), 2))</f>
        <v>480</v>
      </c>
      <c r="F76" s="61">
        <f t="shared" ca="1" si="2"/>
        <v>16000</v>
      </c>
      <c r="G76" s="19" t="str">
        <f t="shared" ca="1" si="3"/>
        <v>Active</v>
      </c>
      <c r="H76" s="19"/>
    </row>
    <row r="77" spans="1:13" ht="18" customHeight="1" x14ac:dyDescent="0.35">
      <c r="A77" s="51">
        <v>12</v>
      </c>
      <c r="B77" s="56" t="str" cm="1">
        <f t="array" ref="B77:B82">B71:B76</f>
        <v>Store Card</v>
      </c>
      <c r="C77" s="65" cm="1">
        <f t="array" aca="1" ref="C77:C82" ca="1">F71:F76</f>
        <v>0</v>
      </c>
      <c r="D77" s="65">
        <f ca="1">IF(B77="","", ROUND(C77 * (VLOOKUP(B77, '💳 Debt Input'!$A$4:$G$9, 3, FALSE) / 12), 2))</f>
        <v>0</v>
      </c>
      <c r="E77" s="65" cm="1">
        <f t="array" aca="1" ref="E77" ca="1">IF(B77="","", ROUND(MIN(C77+D77, MAX(VLOOKUP(B77,'💳 Debt Input'!$A$4:$G$9,4,FALSE), $F$3 - IFERROR(SUM(OFFSET(E77, -MOD(ROW()-6, 6), 0, MOD(ROW()-6, 6))), 0) - IFERROR(SUM(SUMIF('💳 Debt Input'!$A$4:$A$9, OFFSET(B77, 1, 0, 5-MOD(ROW()-6, 6)), '💳 Debt Input'!$D$4:$D$9)), 0))), 2))</f>
        <v>0</v>
      </c>
      <c r="F77" s="65">
        <f t="shared" ca="1" si="2"/>
        <v>0</v>
      </c>
      <c r="G77" s="25" t="str">
        <f t="shared" ca="1" si="3"/>
        <v>Paid off</v>
      </c>
      <c r="H77" s="25"/>
    </row>
    <row r="78" spans="1:13" ht="18" customHeight="1" x14ac:dyDescent="0.35">
      <c r="A78" s="49"/>
      <c r="B78" s="6" t="str">
        <v>Medical Bill</v>
      </c>
      <c r="C78" s="63">
        <f ca="1"/>
        <v>239.03</v>
      </c>
      <c r="D78" s="63">
        <f ca="1">IF(B78="","", ROUND(C78 * (VLOOKUP(B78, '💳 Debt Input'!$A$4:$G$9, 3, FALSE) / 12), 2))</f>
        <v>0.8</v>
      </c>
      <c r="E78" s="63" cm="1">
        <f t="array" aca="1" ref="E78" ca="1">IF(B78="","", ROUND(MIN(C78+D78, MAX(VLOOKUP(B78,'💳 Debt Input'!$A$4:$G$9,4,FALSE), $F$3 - IFERROR(SUM(OFFSET(E78, -MOD(ROW()-6, 6), 0, MOD(ROW()-6, 6))), 0) - IFERROR(SUM(SUMIF('💳 Debt Input'!$A$4:$A$9, OFFSET(B78, 1, 0, 5-MOD(ROW()-6, 6)), '💳 Debt Input'!$D$4:$D$9)), 0))), 2))</f>
        <v>25</v>
      </c>
      <c r="F78" s="63">
        <f t="shared" ca="1" si="2"/>
        <v>214.83</v>
      </c>
      <c r="G78" s="22" t="str">
        <f t="shared" ca="1" si="3"/>
        <v>Active</v>
      </c>
      <c r="H78" s="22"/>
    </row>
    <row r="79" spans="1:13" ht="18" customHeight="1" x14ac:dyDescent="0.35">
      <c r="A79" s="49"/>
      <c r="B79" s="6" t="str">
        <v>Personal Loan</v>
      </c>
      <c r="C79" s="63">
        <f ca="1"/>
        <v>1133.44</v>
      </c>
      <c r="D79" s="63">
        <f ca="1">IF(B79="","", ROUND(C79 * (VLOOKUP(B79, '💳 Debt Input'!$A$4:$G$9, 3, FALSE) / 12), 2))</f>
        <v>5.67</v>
      </c>
      <c r="E79" s="63" cm="1">
        <f t="array" aca="1" ref="E79" ca="1">IF(B79="","", ROUND(MIN(C79+D79, MAX(VLOOKUP(B79,'💳 Debt Input'!$A$4:$G$9,4,FALSE), $F$3 - IFERROR(SUM(OFFSET(E79, -MOD(ROW()-6, 6), 0, MOD(ROW()-6, 6))), 0) - IFERROR(SUM(SUMIF('💳 Debt Input'!$A$4:$A$9, OFFSET(B79, 1, 0, 5-MOD(ROW()-6, 6)), '💳 Debt Input'!$D$4:$D$9)), 0))), 2))</f>
        <v>40</v>
      </c>
      <c r="F79" s="63">
        <f t="shared" ca="1" si="2"/>
        <v>1099.1099999999999</v>
      </c>
      <c r="G79" s="22" t="str">
        <f t="shared" ca="1" si="3"/>
        <v>Active</v>
      </c>
      <c r="H79" s="22"/>
    </row>
    <row r="80" spans="1:13" ht="18" customHeight="1" x14ac:dyDescent="0.35">
      <c r="A80" s="49"/>
      <c r="B80" s="6" t="str">
        <v>Auto Loan</v>
      </c>
      <c r="C80" s="63">
        <f ca="1"/>
        <v>3005.92</v>
      </c>
      <c r="D80" s="63">
        <f ca="1">IF(B80="","", ROUND(C80 * (VLOOKUP(B80, '💳 Debt Input'!$A$4:$G$9, 3, FALSE) / 12), 2))</f>
        <v>25.05</v>
      </c>
      <c r="E80" s="63" cm="1">
        <f t="array" aca="1" ref="E80" ca="1">IF(B80="","", ROUND(MIN(C80+D80, MAX(VLOOKUP(B80,'💳 Debt Input'!$A$4:$G$9,4,FALSE), $F$3 - IFERROR(SUM(OFFSET(E80, -MOD(ROW()-6, 6), 0, MOD(ROW()-6, 6))), 0) - IFERROR(SUM(SUMIF('💳 Debt Input'!$A$4:$A$9, OFFSET(B80, 1, 0, 5-MOD(ROW()-6, 6)), '💳 Debt Input'!$D$4:$D$9)), 0))), 2))</f>
        <v>120</v>
      </c>
      <c r="F80" s="63">
        <f t="shared" ca="1" si="2"/>
        <v>2910.97</v>
      </c>
      <c r="G80" s="22" t="str">
        <f t="shared" ca="1" si="3"/>
        <v>Active</v>
      </c>
      <c r="H80" s="22"/>
    </row>
    <row r="81" spans="1:8" ht="18" customHeight="1" x14ac:dyDescent="0.35">
      <c r="A81" s="49"/>
      <c r="B81" s="6" t="str">
        <v>Travel Card</v>
      </c>
      <c r="C81" s="63">
        <f ca="1"/>
        <v>7398.47</v>
      </c>
      <c r="D81" s="63">
        <f ca="1">IF(B81="","", ROUND(C81 * (VLOOKUP(B81, '💳 Debt Input'!$A$4:$G$9, 3, FALSE) / 12), 2))</f>
        <v>110.98</v>
      </c>
      <c r="E81" s="63" cm="1">
        <f t="array" aca="1" ref="E81" ca="1">IF(B81="","", ROUND(MIN(C81+D81, MAX(VLOOKUP(B81,'💳 Debt Input'!$A$4:$G$9,4,FALSE), $F$3 - IFERROR(SUM(OFFSET(E81, -MOD(ROW()-6, 6), 0, MOD(ROW()-6, 6))), 0) - IFERROR(SUM(SUMIF('💳 Debt Input'!$A$4:$A$9, OFFSET(B81, 1, 0, 5-MOD(ROW()-6, 6)), '💳 Debt Input'!$D$4:$D$9)), 0))), 2))</f>
        <v>270</v>
      </c>
      <c r="F81" s="63">
        <f t="shared" ca="1" si="2"/>
        <v>7239.45</v>
      </c>
      <c r="G81" s="22" t="str">
        <f t="shared" ca="1" si="3"/>
        <v>Active</v>
      </c>
      <c r="H81" s="22"/>
    </row>
    <row r="82" spans="1:8" ht="18" customHeight="1" x14ac:dyDescent="0.35">
      <c r="A82" s="49"/>
      <c r="B82" s="6" t="str">
        <v>Rewards Visa</v>
      </c>
      <c r="C82" s="63">
        <f ca="1"/>
        <v>16000</v>
      </c>
      <c r="D82" s="63">
        <f ca="1">IF(B82="","", ROUND(C82 * (VLOOKUP(B82, '💳 Debt Input'!$A$4:$G$9, 3, FALSE) / 12), 2))</f>
        <v>480</v>
      </c>
      <c r="E82" s="63" cm="1">
        <f t="array" aca="1" ref="E82" ca="1">IF(B82="","", ROUND(MIN(C82+D82, MAX(VLOOKUP(B82,'💳 Debt Input'!$A$4:$G$9,4,FALSE), $F$3 - IFERROR(SUM(OFFSET(E82, -MOD(ROW()-6, 6), 0, MOD(ROW()-6, 6))), 0) - IFERROR(SUM(SUMIF('💳 Debt Input'!$A$4:$A$9, OFFSET(B82, 1, 0, 5-MOD(ROW()-6, 6)), '💳 Debt Input'!$D$4:$D$9)), 0))), 2))</f>
        <v>480</v>
      </c>
      <c r="F82" s="63">
        <f t="shared" ca="1" si="2"/>
        <v>16000</v>
      </c>
      <c r="G82" s="22" t="str">
        <f t="shared" ca="1" si="3"/>
        <v>Active</v>
      </c>
      <c r="H82" s="22"/>
    </row>
    <row r="83" spans="1:8" ht="18" customHeight="1" x14ac:dyDescent="0.35">
      <c r="A83" s="51">
        <v>13</v>
      </c>
      <c r="B83" s="56" t="str" cm="1">
        <f t="array" ref="B83:B88">B77:B82</f>
        <v>Store Card</v>
      </c>
      <c r="C83" s="65" cm="1">
        <f t="array" aca="1" ref="C83:C88" ca="1">F77:F82</f>
        <v>0</v>
      </c>
      <c r="D83" s="65">
        <f ca="1">IF(B83="","", ROUND(C83 * (VLOOKUP(B83, '💳 Debt Input'!$A$4:$G$9, 3, FALSE) / 12), 2))</f>
        <v>0</v>
      </c>
      <c r="E83" s="65" cm="1">
        <f t="array" aca="1" ref="E83" ca="1">IF(B83="","", ROUND(MIN(C83+D83, MAX(VLOOKUP(B83,'💳 Debt Input'!$A$4:$G$9,4,FALSE), $F$3 - IFERROR(SUM(OFFSET(E83, -MOD(ROW()-6, 6), 0, MOD(ROW()-6, 6))), 0) - IFERROR(SUM(SUMIF('💳 Debt Input'!$A$4:$A$9, OFFSET(B83, 1, 0, 5-MOD(ROW()-6, 6)), '💳 Debt Input'!$D$4:$D$9)), 0))), 2))</f>
        <v>0</v>
      </c>
      <c r="F83" s="65">
        <f t="shared" ca="1" si="2"/>
        <v>0</v>
      </c>
      <c r="G83" s="25" t="str">
        <f t="shared" ca="1" si="3"/>
        <v>Paid off</v>
      </c>
      <c r="H83" s="25"/>
    </row>
    <row r="84" spans="1:8" ht="18" customHeight="1" x14ac:dyDescent="0.35">
      <c r="A84" s="47"/>
      <c r="B84" s="8" t="str">
        <v>Medical Bill</v>
      </c>
      <c r="C84" s="61">
        <f ca="1"/>
        <v>214.83</v>
      </c>
      <c r="D84" s="61">
        <f ca="1">IF(B84="","", ROUND(C84 * (VLOOKUP(B84, '💳 Debt Input'!$A$4:$G$9, 3, FALSE) / 12), 2))</f>
        <v>0.72</v>
      </c>
      <c r="E84" s="61" cm="1">
        <f t="array" aca="1" ref="E84" ca="1">IF(B84="","", ROUND(MIN(C84+D84, MAX(VLOOKUP(B84,'💳 Debt Input'!$A$4:$G$9,4,FALSE), $F$3 - IFERROR(SUM(OFFSET(E84, -MOD(ROW()-6, 6), 0, MOD(ROW()-6, 6))), 0) - IFERROR(SUM(SUMIF('💳 Debt Input'!$A$4:$A$9, OFFSET(B84, 1, 0, 5-MOD(ROW()-6, 6)), '💳 Debt Input'!$D$4:$D$9)), 0))), 2))</f>
        <v>25</v>
      </c>
      <c r="F84" s="61">
        <f t="shared" ca="1" si="2"/>
        <v>190.55</v>
      </c>
      <c r="G84" s="19" t="str">
        <f t="shared" ca="1" si="3"/>
        <v>Active</v>
      </c>
      <c r="H84" s="19"/>
    </row>
    <row r="85" spans="1:8" ht="18" customHeight="1" x14ac:dyDescent="0.35">
      <c r="A85" s="47"/>
      <c r="B85" s="8" t="str">
        <v>Personal Loan</v>
      </c>
      <c r="C85" s="61">
        <f ca="1"/>
        <v>1099.1099999999999</v>
      </c>
      <c r="D85" s="61">
        <f ca="1">IF(B85="","", ROUND(C85 * (VLOOKUP(B85, '💳 Debt Input'!$A$4:$G$9, 3, FALSE) / 12), 2))</f>
        <v>5.5</v>
      </c>
      <c r="E85" s="61" cm="1">
        <f t="array" aca="1" ref="E85" ca="1">IF(B85="","", ROUND(MIN(C85+D85, MAX(VLOOKUP(B85,'💳 Debt Input'!$A$4:$G$9,4,FALSE), $F$3 - IFERROR(SUM(OFFSET(E85, -MOD(ROW()-6, 6), 0, MOD(ROW()-6, 6))), 0) - IFERROR(SUM(SUMIF('💳 Debt Input'!$A$4:$A$9, OFFSET(B85, 1, 0, 5-MOD(ROW()-6, 6)), '💳 Debt Input'!$D$4:$D$9)), 0))), 2))</f>
        <v>40</v>
      </c>
      <c r="F85" s="61">
        <f t="shared" ca="1" si="2"/>
        <v>1064.6099999999999</v>
      </c>
      <c r="G85" s="19" t="str">
        <f t="shared" ca="1" si="3"/>
        <v>Active</v>
      </c>
      <c r="H85" s="19"/>
    </row>
    <row r="86" spans="1:8" ht="18" customHeight="1" x14ac:dyDescent="0.35">
      <c r="A86" s="47"/>
      <c r="B86" s="8" t="str">
        <v>Auto Loan</v>
      </c>
      <c r="C86" s="61">
        <f ca="1"/>
        <v>2910.97</v>
      </c>
      <c r="D86" s="61">
        <f ca="1">IF(B86="","", ROUND(C86 * (VLOOKUP(B86, '💳 Debt Input'!$A$4:$G$9, 3, FALSE) / 12), 2))</f>
        <v>24.26</v>
      </c>
      <c r="E86" s="61" cm="1">
        <f t="array" aca="1" ref="E86" ca="1">IF(B86="","", ROUND(MIN(C86+D86, MAX(VLOOKUP(B86,'💳 Debt Input'!$A$4:$G$9,4,FALSE), $F$3 - IFERROR(SUM(OFFSET(E86, -MOD(ROW()-6, 6), 0, MOD(ROW()-6, 6))), 0) - IFERROR(SUM(SUMIF('💳 Debt Input'!$A$4:$A$9, OFFSET(B86, 1, 0, 5-MOD(ROW()-6, 6)), '💳 Debt Input'!$D$4:$D$9)), 0))), 2))</f>
        <v>120</v>
      </c>
      <c r="F86" s="61">
        <f t="shared" ca="1" si="2"/>
        <v>2815.23</v>
      </c>
      <c r="G86" s="19" t="str">
        <f t="shared" ca="1" si="3"/>
        <v>Active</v>
      </c>
      <c r="H86" s="19"/>
    </row>
    <row r="87" spans="1:8" ht="18" customHeight="1" x14ac:dyDescent="0.35">
      <c r="A87" s="47"/>
      <c r="B87" s="8" t="str">
        <v>Travel Card</v>
      </c>
      <c r="C87" s="61">
        <f ca="1"/>
        <v>7239.45</v>
      </c>
      <c r="D87" s="61">
        <f ca="1">IF(B87="","", ROUND(C87 * (VLOOKUP(B87, '💳 Debt Input'!$A$4:$G$9, 3, FALSE) / 12), 2))</f>
        <v>108.59</v>
      </c>
      <c r="E87" s="61" cm="1">
        <f t="array" aca="1" ref="E87" ca="1">IF(B87="","", ROUND(MIN(C87+D87, MAX(VLOOKUP(B87,'💳 Debt Input'!$A$4:$G$9,4,FALSE), $F$3 - IFERROR(SUM(OFFSET(E87, -MOD(ROW()-6, 6), 0, MOD(ROW()-6, 6))), 0) - IFERROR(SUM(SUMIF('💳 Debt Input'!$A$4:$A$9, OFFSET(B87, 1, 0, 5-MOD(ROW()-6, 6)), '💳 Debt Input'!$D$4:$D$9)), 0))), 2))</f>
        <v>270</v>
      </c>
      <c r="F87" s="61">
        <f t="shared" ref="F87:F150" ca="1" si="4">ROUND(MAX(0,C87+D87-E87),2)</f>
        <v>7078.04</v>
      </c>
      <c r="G87" s="19" t="str">
        <f t="shared" ref="G87:G150" ca="1" si="5">IF(F87=0,"Paid off","Active")</f>
        <v>Active</v>
      </c>
      <c r="H87" s="19"/>
    </row>
    <row r="88" spans="1:8" ht="18" customHeight="1" x14ac:dyDescent="0.35">
      <c r="A88" s="47"/>
      <c r="B88" s="8" t="str">
        <v>Rewards Visa</v>
      </c>
      <c r="C88" s="61">
        <f ca="1"/>
        <v>16000</v>
      </c>
      <c r="D88" s="61">
        <f ca="1">IF(B88="","", ROUND(C88 * (VLOOKUP(B88, '💳 Debt Input'!$A$4:$G$9, 3, FALSE) / 12), 2))</f>
        <v>480</v>
      </c>
      <c r="E88" s="61" cm="1">
        <f t="array" aca="1" ref="E88" ca="1">IF(B88="","", ROUND(MIN(C88+D88, MAX(VLOOKUP(B88,'💳 Debt Input'!$A$4:$G$9,4,FALSE), $F$3 - IFERROR(SUM(OFFSET(E88, -MOD(ROW()-6, 6), 0, MOD(ROW()-6, 6))), 0) - IFERROR(SUM(SUMIF('💳 Debt Input'!$A$4:$A$9, OFFSET(B88, 1, 0, 5-MOD(ROW()-6, 6)), '💳 Debt Input'!$D$4:$D$9)), 0))), 2))</f>
        <v>480</v>
      </c>
      <c r="F88" s="61">
        <f t="shared" ca="1" si="4"/>
        <v>16000</v>
      </c>
      <c r="G88" s="19" t="str">
        <f t="shared" ca="1" si="5"/>
        <v>Active</v>
      </c>
      <c r="H88" s="19"/>
    </row>
    <row r="89" spans="1:8" ht="18" customHeight="1" x14ac:dyDescent="0.35">
      <c r="A89" s="51">
        <v>14</v>
      </c>
      <c r="B89" s="56" t="str" cm="1">
        <f t="array" ref="B89:B94">B83:B88</f>
        <v>Store Card</v>
      </c>
      <c r="C89" s="65" cm="1">
        <f t="array" aca="1" ref="C89:C94" ca="1">F83:F88</f>
        <v>0</v>
      </c>
      <c r="D89" s="65">
        <f ca="1">IF(B89="","", ROUND(C89 * (VLOOKUP(B89, '💳 Debt Input'!$A$4:$G$9, 3, FALSE) / 12), 2))</f>
        <v>0</v>
      </c>
      <c r="E89" s="65" cm="1">
        <f t="array" aca="1" ref="E89" ca="1">IF(B89="","", ROUND(MIN(C89+D89, MAX(VLOOKUP(B89,'💳 Debt Input'!$A$4:$G$9,4,FALSE), $F$3 - IFERROR(SUM(OFFSET(E89, -MOD(ROW()-6, 6), 0, MOD(ROW()-6, 6))), 0) - IFERROR(SUM(SUMIF('💳 Debt Input'!$A$4:$A$9, OFFSET(B89, 1, 0, 5-MOD(ROW()-6, 6)), '💳 Debt Input'!$D$4:$D$9)), 0))), 2))</f>
        <v>0</v>
      </c>
      <c r="F89" s="65">
        <f t="shared" ca="1" si="4"/>
        <v>0</v>
      </c>
      <c r="G89" s="25" t="str">
        <f t="shared" ca="1" si="5"/>
        <v>Paid off</v>
      </c>
      <c r="H89" s="25"/>
    </row>
    <row r="90" spans="1:8" ht="18" customHeight="1" x14ac:dyDescent="0.35">
      <c r="A90" s="49"/>
      <c r="B90" s="6" t="str">
        <v>Medical Bill</v>
      </c>
      <c r="C90" s="63">
        <f ca="1"/>
        <v>190.55</v>
      </c>
      <c r="D90" s="63">
        <f ca="1">IF(B90="","", ROUND(C90 * (VLOOKUP(B90, '💳 Debt Input'!$A$4:$G$9, 3, FALSE) / 12), 2))</f>
        <v>0.64</v>
      </c>
      <c r="E90" s="63" cm="1">
        <f t="array" aca="1" ref="E90" ca="1">IF(B90="","", ROUND(MIN(C90+D90, MAX(VLOOKUP(B90,'💳 Debt Input'!$A$4:$G$9,4,FALSE), $F$3 - IFERROR(SUM(OFFSET(E90, -MOD(ROW()-6, 6), 0, MOD(ROW()-6, 6))), 0) - IFERROR(SUM(SUMIF('💳 Debt Input'!$A$4:$A$9, OFFSET(B90, 1, 0, 5-MOD(ROW()-6, 6)), '💳 Debt Input'!$D$4:$D$9)), 0))), 2))</f>
        <v>25</v>
      </c>
      <c r="F90" s="63">
        <f t="shared" ca="1" si="4"/>
        <v>166.19</v>
      </c>
      <c r="G90" s="22" t="str">
        <f t="shared" ca="1" si="5"/>
        <v>Active</v>
      </c>
      <c r="H90" s="22"/>
    </row>
    <row r="91" spans="1:8" ht="18" customHeight="1" x14ac:dyDescent="0.35">
      <c r="A91" s="49"/>
      <c r="B91" s="6" t="str">
        <v>Personal Loan</v>
      </c>
      <c r="C91" s="63">
        <f ca="1"/>
        <v>1064.6099999999999</v>
      </c>
      <c r="D91" s="63">
        <f ca="1">IF(B91="","", ROUND(C91 * (VLOOKUP(B91, '💳 Debt Input'!$A$4:$G$9, 3, FALSE) / 12), 2))</f>
        <v>5.32</v>
      </c>
      <c r="E91" s="63" cm="1">
        <f t="array" aca="1" ref="E91" ca="1">IF(B91="","", ROUND(MIN(C91+D91, MAX(VLOOKUP(B91,'💳 Debt Input'!$A$4:$G$9,4,FALSE), $F$3 - IFERROR(SUM(OFFSET(E91, -MOD(ROW()-6, 6), 0, MOD(ROW()-6, 6))), 0) - IFERROR(SUM(SUMIF('💳 Debt Input'!$A$4:$A$9, OFFSET(B91, 1, 0, 5-MOD(ROW()-6, 6)), '💳 Debt Input'!$D$4:$D$9)), 0))), 2))</f>
        <v>40</v>
      </c>
      <c r="F91" s="63">
        <f t="shared" ca="1" si="4"/>
        <v>1029.93</v>
      </c>
      <c r="G91" s="22" t="str">
        <f t="shared" ca="1" si="5"/>
        <v>Active</v>
      </c>
      <c r="H91" s="22"/>
    </row>
    <row r="92" spans="1:8" ht="18" customHeight="1" x14ac:dyDescent="0.35">
      <c r="A92" s="49"/>
      <c r="B92" s="6" t="str">
        <v>Auto Loan</v>
      </c>
      <c r="C92" s="63">
        <f ca="1"/>
        <v>2815.23</v>
      </c>
      <c r="D92" s="63">
        <f ca="1">IF(B92="","", ROUND(C92 * (VLOOKUP(B92, '💳 Debt Input'!$A$4:$G$9, 3, FALSE) / 12), 2))</f>
        <v>23.46</v>
      </c>
      <c r="E92" s="63" cm="1">
        <f t="array" aca="1" ref="E92" ca="1">IF(B92="","", ROUND(MIN(C92+D92, MAX(VLOOKUP(B92,'💳 Debt Input'!$A$4:$G$9,4,FALSE), $F$3 - IFERROR(SUM(OFFSET(E92, -MOD(ROW()-6, 6), 0, MOD(ROW()-6, 6))), 0) - IFERROR(SUM(SUMIF('💳 Debt Input'!$A$4:$A$9, OFFSET(B92, 1, 0, 5-MOD(ROW()-6, 6)), '💳 Debt Input'!$D$4:$D$9)), 0))), 2))</f>
        <v>120</v>
      </c>
      <c r="F92" s="63">
        <f t="shared" ca="1" si="4"/>
        <v>2718.69</v>
      </c>
      <c r="G92" s="22" t="str">
        <f t="shared" ca="1" si="5"/>
        <v>Active</v>
      </c>
      <c r="H92" s="22"/>
    </row>
    <row r="93" spans="1:8" ht="18" customHeight="1" x14ac:dyDescent="0.35">
      <c r="A93" s="49"/>
      <c r="B93" s="6" t="str">
        <v>Travel Card</v>
      </c>
      <c r="C93" s="63">
        <f ca="1"/>
        <v>7078.04</v>
      </c>
      <c r="D93" s="63">
        <f ca="1">IF(B93="","", ROUND(C93 * (VLOOKUP(B93, '💳 Debt Input'!$A$4:$G$9, 3, FALSE) / 12), 2))</f>
        <v>106.17</v>
      </c>
      <c r="E93" s="63" cm="1">
        <f t="array" aca="1" ref="E93" ca="1">IF(B93="","", ROUND(MIN(C93+D93, MAX(VLOOKUP(B93,'💳 Debt Input'!$A$4:$G$9,4,FALSE), $F$3 - IFERROR(SUM(OFFSET(E93, -MOD(ROW()-6, 6), 0, MOD(ROW()-6, 6))), 0) - IFERROR(SUM(SUMIF('💳 Debt Input'!$A$4:$A$9, OFFSET(B93, 1, 0, 5-MOD(ROW()-6, 6)), '💳 Debt Input'!$D$4:$D$9)), 0))), 2))</f>
        <v>270</v>
      </c>
      <c r="F93" s="63">
        <f t="shared" ca="1" si="4"/>
        <v>6914.21</v>
      </c>
      <c r="G93" s="22" t="str">
        <f t="shared" ca="1" si="5"/>
        <v>Active</v>
      </c>
      <c r="H93" s="22"/>
    </row>
    <row r="94" spans="1:8" ht="18" customHeight="1" x14ac:dyDescent="0.35">
      <c r="A94" s="49"/>
      <c r="B94" s="6" t="str">
        <v>Rewards Visa</v>
      </c>
      <c r="C94" s="63">
        <f ca="1"/>
        <v>16000</v>
      </c>
      <c r="D94" s="63">
        <f ca="1">IF(B94="","", ROUND(C94 * (VLOOKUP(B94, '💳 Debt Input'!$A$4:$G$9, 3, FALSE) / 12), 2))</f>
        <v>480</v>
      </c>
      <c r="E94" s="63" cm="1">
        <f t="array" aca="1" ref="E94" ca="1">IF(B94="","", ROUND(MIN(C94+D94, MAX(VLOOKUP(B94,'💳 Debt Input'!$A$4:$G$9,4,FALSE), $F$3 - IFERROR(SUM(OFFSET(E94, -MOD(ROW()-6, 6), 0, MOD(ROW()-6, 6))), 0) - IFERROR(SUM(SUMIF('💳 Debt Input'!$A$4:$A$9, OFFSET(B94, 1, 0, 5-MOD(ROW()-6, 6)), '💳 Debt Input'!$D$4:$D$9)), 0))), 2))</f>
        <v>480</v>
      </c>
      <c r="F94" s="63">
        <f t="shared" ca="1" si="4"/>
        <v>16000</v>
      </c>
      <c r="G94" s="22" t="str">
        <f t="shared" ca="1" si="5"/>
        <v>Active</v>
      </c>
      <c r="H94" s="22"/>
    </row>
    <row r="95" spans="1:8" ht="18" customHeight="1" x14ac:dyDescent="0.35">
      <c r="A95" s="51">
        <v>15</v>
      </c>
      <c r="B95" s="56" t="str" cm="1">
        <f t="array" ref="B95:B100">B89:B94</f>
        <v>Store Card</v>
      </c>
      <c r="C95" s="65" cm="1">
        <f t="array" aca="1" ref="C95:C100" ca="1">F89:F94</f>
        <v>0</v>
      </c>
      <c r="D95" s="65">
        <f ca="1">IF(B95="","", ROUND(C95 * (VLOOKUP(B95, '💳 Debt Input'!$A$4:$G$9, 3, FALSE) / 12), 2))</f>
        <v>0</v>
      </c>
      <c r="E95" s="65" cm="1">
        <f t="array" aca="1" ref="E95" ca="1">IF(B95="","", ROUND(MIN(C95+D95, MAX(VLOOKUP(B95,'💳 Debt Input'!$A$4:$G$9,4,FALSE), $F$3 - IFERROR(SUM(OFFSET(E95, -MOD(ROW()-6, 6), 0, MOD(ROW()-6, 6))), 0) - IFERROR(SUM(SUMIF('💳 Debt Input'!$A$4:$A$9, OFFSET(B95, 1, 0, 5-MOD(ROW()-6, 6)), '💳 Debt Input'!$D$4:$D$9)), 0))), 2))</f>
        <v>0</v>
      </c>
      <c r="F95" s="65">
        <f t="shared" ca="1" si="4"/>
        <v>0</v>
      </c>
      <c r="G95" s="25" t="str">
        <f t="shared" ca="1" si="5"/>
        <v>Paid off</v>
      </c>
      <c r="H95" s="25"/>
    </row>
    <row r="96" spans="1:8" ht="18" customHeight="1" x14ac:dyDescent="0.35">
      <c r="A96" s="52"/>
      <c r="B96" s="26" t="str">
        <v>Medical Bill</v>
      </c>
      <c r="C96" s="66">
        <f ca="1"/>
        <v>166.19</v>
      </c>
      <c r="D96" s="66">
        <f ca="1">IF(B96="","", ROUND(C96 * (VLOOKUP(B96, '💳 Debt Input'!$A$4:$G$9, 3, FALSE) / 12), 2))</f>
        <v>0.55000000000000004</v>
      </c>
      <c r="E96" s="66" cm="1">
        <f t="array" aca="1" ref="E96" ca="1">IF(B96="","", ROUND(MIN(C96+D96, MAX(VLOOKUP(B96,'💳 Debt Input'!$A$4:$G$9,4,FALSE), $F$3 - IFERROR(SUM(OFFSET(E96, -MOD(ROW()-6, 6), 0, MOD(ROW()-6, 6))), 0) - IFERROR(SUM(SUMIF('💳 Debt Input'!$A$4:$A$9, OFFSET(B96, 1, 0, 5-MOD(ROW()-6, 6)), '💳 Debt Input'!$D$4:$D$9)), 0))), 2))</f>
        <v>25</v>
      </c>
      <c r="F96" s="66">
        <f t="shared" ca="1" si="4"/>
        <v>141.74</v>
      </c>
      <c r="G96" s="28" t="str">
        <f t="shared" ca="1" si="5"/>
        <v>Active</v>
      </c>
      <c r="H96" s="28"/>
    </row>
    <row r="97" spans="1:8" ht="18" customHeight="1" x14ac:dyDescent="0.35">
      <c r="A97" s="47"/>
      <c r="B97" s="8" t="str">
        <v>Personal Loan</v>
      </c>
      <c r="C97" s="61">
        <f ca="1"/>
        <v>1029.93</v>
      </c>
      <c r="D97" s="61">
        <f ca="1">IF(B97="","", ROUND(C97 * (VLOOKUP(B97, '💳 Debt Input'!$A$4:$G$9, 3, FALSE) / 12), 2))</f>
        <v>5.15</v>
      </c>
      <c r="E97" s="61" cm="1">
        <f t="array" aca="1" ref="E97" ca="1">IF(B97="","", ROUND(MIN(C97+D97, MAX(VLOOKUP(B97,'💳 Debt Input'!$A$4:$G$9,4,FALSE), $F$3 - IFERROR(SUM(OFFSET(E97, -MOD(ROW()-6, 6), 0, MOD(ROW()-6, 6))), 0) - IFERROR(SUM(SUMIF('💳 Debt Input'!$A$4:$A$9, OFFSET(B97, 1, 0, 5-MOD(ROW()-6, 6)), '💳 Debt Input'!$D$4:$D$9)), 0))), 2))</f>
        <v>40</v>
      </c>
      <c r="F97" s="61">
        <f t="shared" ca="1" si="4"/>
        <v>995.08</v>
      </c>
      <c r="G97" s="19" t="str">
        <f t="shared" ca="1" si="5"/>
        <v>Active</v>
      </c>
      <c r="H97" s="19"/>
    </row>
    <row r="98" spans="1:8" ht="18" customHeight="1" x14ac:dyDescent="0.35">
      <c r="A98" s="47"/>
      <c r="B98" s="8" t="str">
        <v>Auto Loan</v>
      </c>
      <c r="C98" s="61">
        <f ca="1"/>
        <v>2718.69</v>
      </c>
      <c r="D98" s="61">
        <f ca="1">IF(B98="","", ROUND(C98 * (VLOOKUP(B98, '💳 Debt Input'!$A$4:$G$9, 3, FALSE) / 12), 2))</f>
        <v>22.66</v>
      </c>
      <c r="E98" s="61" cm="1">
        <f t="array" aca="1" ref="E98" ca="1">IF(B98="","", ROUND(MIN(C98+D98, MAX(VLOOKUP(B98,'💳 Debt Input'!$A$4:$G$9,4,FALSE), $F$3 - IFERROR(SUM(OFFSET(E98, -MOD(ROW()-6, 6), 0, MOD(ROW()-6, 6))), 0) - IFERROR(SUM(SUMIF('💳 Debt Input'!$A$4:$A$9, OFFSET(B98, 1, 0, 5-MOD(ROW()-6, 6)), '💳 Debt Input'!$D$4:$D$9)), 0))), 2))</f>
        <v>120</v>
      </c>
      <c r="F98" s="61">
        <f t="shared" ca="1" si="4"/>
        <v>2621.35</v>
      </c>
      <c r="G98" s="19" t="str">
        <f t="shared" ca="1" si="5"/>
        <v>Active</v>
      </c>
      <c r="H98" s="19"/>
    </row>
    <row r="99" spans="1:8" ht="18" customHeight="1" x14ac:dyDescent="0.35">
      <c r="A99" s="47"/>
      <c r="B99" s="8" t="str">
        <v>Travel Card</v>
      </c>
      <c r="C99" s="61">
        <f ca="1"/>
        <v>6914.21</v>
      </c>
      <c r="D99" s="61">
        <f ca="1">IF(B99="","", ROUND(C99 * (VLOOKUP(B99, '💳 Debt Input'!$A$4:$G$9, 3, FALSE) / 12), 2))</f>
        <v>103.71</v>
      </c>
      <c r="E99" s="61" cm="1">
        <f t="array" aca="1" ref="E99" ca="1">IF(B99="","", ROUND(MIN(C99+D99, MAX(VLOOKUP(B99,'💳 Debt Input'!$A$4:$G$9,4,FALSE), $F$3 - IFERROR(SUM(OFFSET(E99, -MOD(ROW()-6, 6), 0, MOD(ROW()-6, 6))), 0) - IFERROR(SUM(SUMIF('💳 Debt Input'!$A$4:$A$9, OFFSET(B99, 1, 0, 5-MOD(ROW()-6, 6)), '💳 Debt Input'!$D$4:$D$9)), 0))), 2))</f>
        <v>270</v>
      </c>
      <c r="F99" s="61">
        <f t="shared" ca="1" si="4"/>
        <v>6747.92</v>
      </c>
      <c r="G99" s="19" t="str">
        <f t="shared" ca="1" si="5"/>
        <v>Active</v>
      </c>
      <c r="H99" s="19"/>
    </row>
    <row r="100" spans="1:8" ht="18" customHeight="1" x14ac:dyDescent="0.35">
      <c r="A100" s="47"/>
      <c r="B100" s="8" t="str">
        <v>Rewards Visa</v>
      </c>
      <c r="C100" s="61">
        <f ca="1"/>
        <v>16000</v>
      </c>
      <c r="D100" s="61">
        <f ca="1">IF(B100="","", ROUND(C100 * (VLOOKUP(B100, '💳 Debt Input'!$A$4:$G$9, 3, FALSE) / 12), 2))</f>
        <v>480</v>
      </c>
      <c r="E100" s="61" cm="1">
        <f t="array" aca="1" ref="E100" ca="1">IF(B100="","", ROUND(MIN(C100+D100, MAX(VLOOKUP(B100,'💳 Debt Input'!$A$4:$G$9,4,FALSE), $F$3 - IFERROR(SUM(OFFSET(E100, -MOD(ROW()-6, 6), 0, MOD(ROW()-6, 6))), 0) - IFERROR(SUM(SUMIF('💳 Debt Input'!$A$4:$A$9, OFFSET(B100, 1, 0, 5-MOD(ROW()-6, 6)), '💳 Debt Input'!$D$4:$D$9)), 0))), 2))</f>
        <v>480</v>
      </c>
      <c r="F100" s="61">
        <f t="shared" ca="1" si="4"/>
        <v>16000</v>
      </c>
      <c r="G100" s="19" t="str">
        <f t="shared" ca="1" si="5"/>
        <v>Active</v>
      </c>
      <c r="H100" s="19"/>
    </row>
    <row r="101" spans="1:8" ht="18" customHeight="1" x14ac:dyDescent="0.35">
      <c r="A101" s="51">
        <v>16</v>
      </c>
      <c r="B101" s="56" t="str" cm="1">
        <f t="array" ref="B101:B106">B95:B100</f>
        <v>Store Card</v>
      </c>
      <c r="C101" s="65" cm="1">
        <f t="array" aca="1" ref="C101:C106" ca="1">F95:F100</f>
        <v>0</v>
      </c>
      <c r="D101" s="65">
        <f ca="1">IF(B101="","", ROUND(C101 * (VLOOKUP(B101, '💳 Debt Input'!$A$4:$G$9, 3, FALSE) / 12), 2))</f>
        <v>0</v>
      </c>
      <c r="E101" s="65" cm="1">
        <f t="array" aca="1" ref="E101" ca="1">IF(B101="","", ROUND(MIN(C101+D101, MAX(VLOOKUP(B101,'💳 Debt Input'!$A$4:$G$9,4,FALSE), $F$3 - IFERROR(SUM(OFFSET(E101, -MOD(ROW()-6, 6), 0, MOD(ROW()-6, 6))), 0) - IFERROR(SUM(SUMIF('💳 Debt Input'!$A$4:$A$9, OFFSET(B101, 1, 0, 5-MOD(ROW()-6, 6)), '💳 Debt Input'!$D$4:$D$9)), 0))), 2))</f>
        <v>0</v>
      </c>
      <c r="F101" s="65">
        <f t="shared" ca="1" si="4"/>
        <v>0</v>
      </c>
      <c r="G101" s="25" t="str">
        <f t="shared" ca="1" si="5"/>
        <v>Paid off</v>
      </c>
      <c r="H101" s="25"/>
    </row>
    <row r="102" spans="1:8" ht="18" customHeight="1" x14ac:dyDescent="0.35">
      <c r="A102" s="52"/>
      <c r="B102" s="26" t="str">
        <v>Medical Bill</v>
      </c>
      <c r="C102" s="66">
        <f ca="1"/>
        <v>141.74</v>
      </c>
      <c r="D102" s="66">
        <f ca="1">IF(B102="","", ROUND(C102 * (VLOOKUP(B102, '💳 Debt Input'!$A$4:$G$9, 3, FALSE) / 12), 2))</f>
        <v>0.47</v>
      </c>
      <c r="E102" s="66" cm="1">
        <f t="array" aca="1" ref="E102" ca="1">IF(B102="","", ROUND(MIN(C102+D102, MAX(VLOOKUP(B102,'💳 Debt Input'!$A$4:$G$9,4,FALSE), $F$3 - IFERROR(SUM(OFFSET(E102, -MOD(ROW()-6, 6), 0, MOD(ROW()-6, 6))), 0) - IFERROR(SUM(SUMIF('💳 Debt Input'!$A$4:$A$9, OFFSET(B102, 1, 0, 5-MOD(ROW()-6, 6)), '💳 Debt Input'!$D$4:$D$9)), 0))), 2))</f>
        <v>25</v>
      </c>
      <c r="F102" s="66">
        <f t="shared" ca="1" si="4"/>
        <v>117.21</v>
      </c>
      <c r="G102" s="28" t="str">
        <f t="shared" ca="1" si="5"/>
        <v>Active</v>
      </c>
      <c r="H102" s="28"/>
    </row>
    <row r="103" spans="1:8" ht="18" customHeight="1" x14ac:dyDescent="0.35">
      <c r="A103" s="49"/>
      <c r="B103" s="6" t="str">
        <v>Personal Loan</v>
      </c>
      <c r="C103" s="63">
        <f ca="1"/>
        <v>995.08</v>
      </c>
      <c r="D103" s="63">
        <f ca="1">IF(B103="","", ROUND(C103 * (VLOOKUP(B103, '💳 Debt Input'!$A$4:$G$9, 3, FALSE) / 12), 2))</f>
        <v>4.9800000000000004</v>
      </c>
      <c r="E103" s="63" cm="1">
        <f t="array" aca="1" ref="E103" ca="1">IF(B103="","", ROUND(MIN(C103+D103, MAX(VLOOKUP(B103,'💳 Debt Input'!$A$4:$G$9,4,FALSE), $F$3 - IFERROR(SUM(OFFSET(E103, -MOD(ROW()-6, 6), 0, MOD(ROW()-6, 6))), 0) - IFERROR(SUM(SUMIF('💳 Debt Input'!$A$4:$A$9, OFFSET(B103, 1, 0, 5-MOD(ROW()-6, 6)), '💳 Debt Input'!$D$4:$D$9)), 0))), 2))</f>
        <v>40</v>
      </c>
      <c r="F103" s="63">
        <f t="shared" ca="1" si="4"/>
        <v>960.06</v>
      </c>
      <c r="G103" s="22" t="str">
        <f t="shared" ca="1" si="5"/>
        <v>Active</v>
      </c>
      <c r="H103" s="22"/>
    </row>
    <row r="104" spans="1:8" ht="18" customHeight="1" x14ac:dyDescent="0.35">
      <c r="A104" s="49"/>
      <c r="B104" s="6" t="str">
        <v>Auto Loan</v>
      </c>
      <c r="C104" s="63">
        <f ca="1"/>
        <v>2621.35</v>
      </c>
      <c r="D104" s="63">
        <f ca="1">IF(B104="","", ROUND(C104 * (VLOOKUP(B104, '💳 Debt Input'!$A$4:$G$9, 3, FALSE) / 12), 2))</f>
        <v>21.84</v>
      </c>
      <c r="E104" s="63" cm="1">
        <f t="array" aca="1" ref="E104" ca="1">IF(B104="","", ROUND(MIN(C104+D104, MAX(VLOOKUP(B104,'💳 Debt Input'!$A$4:$G$9,4,FALSE), $F$3 - IFERROR(SUM(OFFSET(E104, -MOD(ROW()-6, 6), 0, MOD(ROW()-6, 6))), 0) - IFERROR(SUM(SUMIF('💳 Debt Input'!$A$4:$A$9, OFFSET(B104, 1, 0, 5-MOD(ROW()-6, 6)), '💳 Debt Input'!$D$4:$D$9)), 0))), 2))</f>
        <v>120</v>
      </c>
      <c r="F104" s="63">
        <f t="shared" ca="1" si="4"/>
        <v>2523.19</v>
      </c>
      <c r="G104" s="22" t="str">
        <f t="shared" ca="1" si="5"/>
        <v>Active</v>
      </c>
      <c r="H104" s="22"/>
    </row>
    <row r="105" spans="1:8" ht="18" customHeight="1" x14ac:dyDescent="0.35">
      <c r="A105" s="49"/>
      <c r="B105" s="6" t="str">
        <v>Travel Card</v>
      </c>
      <c r="C105" s="63">
        <f ca="1"/>
        <v>6747.92</v>
      </c>
      <c r="D105" s="63">
        <f ca="1">IF(B105="","", ROUND(C105 * (VLOOKUP(B105, '💳 Debt Input'!$A$4:$G$9, 3, FALSE) / 12), 2))</f>
        <v>101.22</v>
      </c>
      <c r="E105" s="63" cm="1">
        <f t="array" aca="1" ref="E105" ca="1">IF(B105="","", ROUND(MIN(C105+D105, MAX(VLOOKUP(B105,'💳 Debt Input'!$A$4:$G$9,4,FALSE), $F$3 - IFERROR(SUM(OFFSET(E105, -MOD(ROW()-6, 6), 0, MOD(ROW()-6, 6))), 0) - IFERROR(SUM(SUMIF('💳 Debt Input'!$A$4:$A$9, OFFSET(B105, 1, 0, 5-MOD(ROW()-6, 6)), '💳 Debt Input'!$D$4:$D$9)), 0))), 2))</f>
        <v>270</v>
      </c>
      <c r="F105" s="63">
        <f t="shared" ca="1" si="4"/>
        <v>6579.14</v>
      </c>
      <c r="G105" s="22" t="str">
        <f t="shared" ca="1" si="5"/>
        <v>Active</v>
      </c>
      <c r="H105" s="22"/>
    </row>
    <row r="106" spans="1:8" ht="18" customHeight="1" x14ac:dyDescent="0.35">
      <c r="A106" s="49"/>
      <c r="B106" s="6" t="str">
        <v>Rewards Visa</v>
      </c>
      <c r="C106" s="63">
        <f ca="1"/>
        <v>16000</v>
      </c>
      <c r="D106" s="63">
        <f ca="1">IF(B106="","", ROUND(C106 * (VLOOKUP(B106, '💳 Debt Input'!$A$4:$G$9, 3, FALSE) / 12), 2))</f>
        <v>480</v>
      </c>
      <c r="E106" s="63" cm="1">
        <f t="array" aca="1" ref="E106" ca="1">IF(B106="","", ROUND(MIN(C106+D106, MAX(VLOOKUP(B106,'💳 Debt Input'!$A$4:$G$9,4,FALSE), $F$3 - IFERROR(SUM(OFFSET(E106, -MOD(ROW()-6, 6), 0, MOD(ROW()-6, 6))), 0) - IFERROR(SUM(SUMIF('💳 Debt Input'!$A$4:$A$9, OFFSET(B106, 1, 0, 5-MOD(ROW()-6, 6)), '💳 Debt Input'!$D$4:$D$9)), 0))), 2))</f>
        <v>480</v>
      </c>
      <c r="F106" s="63">
        <f t="shared" ca="1" si="4"/>
        <v>16000</v>
      </c>
      <c r="G106" s="22" t="str">
        <f t="shared" ca="1" si="5"/>
        <v>Active</v>
      </c>
      <c r="H106" s="22"/>
    </row>
    <row r="107" spans="1:8" ht="18" customHeight="1" x14ac:dyDescent="0.35">
      <c r="A107" s="51">
        <v>17</v>
      </c>
      <c r="B107" s="56" t="str" cm="1">
        <f t="array" ref="B107:B112">B101:B106</f>
        <v>Store Card</v>
      </c>
      <c r="C107" s="65" cm="1">
        <f t="array" aca="1" ref="C107:C112" ca="1">F101:F106</f>
        <v>0</v>
      </c>
      <c r="D107" s="65">
        <f ca="1">IF(B107="","", ROUND(C107 * (VLOOKUP(B107, '💳 Debt Input'!$A$4:$G$9, 3, FALSE) / 12), 2))</f>
        <v>0</v>
      </c>
      <c r="E107" s="65" cm="1">
        <f t="array" aca="1" ref="E107" ca="1">IF(B107="","", ROUND(MIN(C107+D107, MAX(VLOOKUP(B107,'💳 Debt Input'!$A$4:$G$9,4,FALSE), $F$3 - IFERROR(SUM(OFFSET(E107, -MOD(ROW()-6, 6), 0, MOD(ROW()-6, 6))), 0) - IFERROR(SUM(SUMIF('💳 Debt Input'!$A$4:$A$9, OFFSET(B107, 1, 0, 5-MOD(ROW()-6, 6)), '💳 Debt Input'!$D$4:$D$9)), 0))), 2))</f>
        <v>0</v>
      </c>
      <c r="F107" s="65">
        <f t="shared" ca="1" si="4"/>
        <v>0</v>
      </c>
      <c r="G107" s="25" t="str">
        <f t="shared" ca="1" si="5"/>
        <v>Paid off</v>
      </c>
      <c r="H107" s="25"/>
    </row>
    <row r="108" spans="1:8" ht="18" customHeight="1" x14ac:dyDescent="0.35">
      <c r="A108" s="52"/>
      <c r="B108" s="26" t="str">
        <v>Medical Bill</v>
      </c>
      <c r="C108" s="66">
        <f ca="1"/>
        <v>117.21</v>
      </c>
      <c r="D108" s="66">
        <f ca="1">IF(B108="","", ROUND(C108 * (VLOOKUP(B108, '💳 Debt Input'!$A$4:$G$9, 3, FALSE) / 12), 2))</f>
        <v>0.39</v>
      </c>
      <c r="E108" s="66" cm="1">
        <f t="array" aca="1" ref="E108" ca="1">IF(B108="","", ROUND(MIN(C108+D108, MAX(VLOOKUP(B108,'💳 Debt Input'!$A$4:$G$9,4,FALSE), $F$3 - IFERROR(SUM(OFFSET(E108, -MOD(ROW()-6, 6), 0, MOD(ROW()-6, 6))), 0) - IFERROR(SUM(SUMIF('💳 Debt Input'!$A$4:$A$9, OFFSET(B108, 1, 0, 5-MOD(ROW()-6, 6)), '💳 Debt Input'!$D$4:$D$9)), 0))), 2))</f>
        <v>25</v>
      </c>
      <c r="F108" s="66">
        <f t="shared" ca="1" si="4"/>
        <v>92.6</v>
      </c>
      <c r="G108" s="28" t="str">
        <f t="shared" ca="1" si="5"/>
        <v>Active</v>
      </c>
      <c r="H108" s="28"/>
    </row>
    <row r="109" spans="1:8" ht="18" customHeight="1" x14ac:dyDescent="0.35">
      <c r="A109" s="47"/>
      <c r="B109" s="8" t="str">
        <v>Personal Loan</v>
      </c>
      <c r="C109" s="61">
        <f ca="1"/>
        <v>960.06</v>
      </c>
      <c r="D109" s="61">
        <f ca="1">IF(B109="","", ROUND(C109 * (VLOOKUP(B109, '💳 Debt Input'!$A$4:$G$9, 3, FALSE) / 12), 2))</f>
        <v>4.8</v>
      </c>
      <c r="E109" s="61" cm="1">
        <f t="array" aca="1" ref="E109" ca="1">IF(B109="","", ROUND(MIN(C109+D109, MAX(VLOOKUP(B109,'💳 Debt Input'!$A$4:$G$9,4,FALSE), $F$3 - IFERROR(SUM(OFFSET(E109, -MOD(ROW()-6, 6), 0, MOD(ROW()-6, 6))), 0) - IFERROR(SUM(SUMIF('💳 Debt Input'!$A$4:$A$9, OFFSET(B109, 1, 0, 5-MOD(ROW()-6, 6)), '💳 Debt Input'!$D$4:$D$9)), 0))), 2))</f>
        <v>40</v>
      </c>
      <c r="F109" s="61">
        <f t="shared" ca="1" si="4"/>
        <v>924.86</v>
      </c>
      <c r="G109" s="19" t="str">
        <f t="shared" ca="1" si="5"/>
        <v>Active</v>
      </c>
      <c r="H109" s="19"/>
    </row>
    <row r="110" spans="1:8" ht="18" customHeight="1" x14ac:dyDescent="0.35">
      <c r="A110" s="47"/>
      <c r="B110" s="8" t="str">
        <v>Auto Loan</v>
      </c>
      <c r="C110" s="61">
        <f ca="1"/>
        <v>2523.19</v>
      </c>
      <c r="D110" s="61">
        <f ca="1">IF(B110="","", ROUND(C110 * (VLOOKUP(B110, '💳 Debt Input'!$A$4:$G$9, 3, FALSE) / 12), 2))</f>
        <v>21.03</v>
      </c>
      <c r="E110" s="61" cm="1">
        <f t="array" aca="1" ref="E110" ca="1">IF(B110="","", ROUND(MIN(C110+D110, MAX(VLOOKUP(B110,'💳 Debt Input'!$A$4:$G$9,4,FALSE), $F$3 - IFERROR(SUM(OFFSET(E110, -MOD(ROW()-6, 6), 0, MOD(ROW()-6, 6))), 0) - IFERROR(SUM(SUMIF('💳 Debt Input'!$A$4:$A$9, OFFSET(B110, 1, 0, 5-MOD(ROW()-6, 6)), '💳 Debt Input'!$D$4:$D$9)), 0))), 2))</f>
        <v>120</v>
      </c>
      <c r="F110" s="61">
        <f t="shared" ca="1" si="4"/>
        <v>2424.2199999999998</v>
      </c>
      <c r="G110" s="19" t="str">
        <f t="shared" ca="1" si="5"/>
        <v>Active</v>
      </c>
      <c r="H110" s="19"/>
    </row>
    <row r="111" spans="1:8" ht="18" customHeight="1" x14ac:dyDescent="0.35">
      <c r="A111" s="47"/>
      <c r="B111" s="8" t="str">
        <v>Travel Card</v>
      </c>
      <c r="C111" s="61">
        <f ca="1"/>
        <v>6579.14</v>
      </c>
      <c r="D111" s="61">
        <f ca="1">IF(B111="","", ROUND(C111 * (VLOOKUP(B111, '💳 Debt Input'!$A$4:$G$9, 3, FALSE) / 12), 2))</f>
        <v>98.69</v>
      </c>
      <c r="E111" s="61" cm="1">
        <f t="array" aca="1" ref="E111" ca="1">IF(B111="","", ROUND(MIN(C111+D111, MAX(VLOOKUP(B111,'💳 Debt Input'!$A$4:$G$9,4,FALSE), $F$3 - IFERROR(SUM(OFFSET(E111, -MOD(ROW()-6, 6), 0, MOD(ROW()-6, 6))), 0) - IFERROR(SUM(SUMIF('💳 Debt Input'!$A$4:$A$9, OFFSET(B111, 1, 0, 5-MOD(ROW()-6, 6)), '💳 Debt Input'!$D$4:$D$9)), 0))), 2))</f>
        <v>270</v>
      </c>
      <c r="F111" s="61">
        <f t="shared" ca="1" si="4"/>
        <v>6407.83</v>
      </c>
      <c r="G111" s="19" t="str">
        <f t="shared" ca="1" si="5"/>
        <v>Active</v>
      </c>
      <c r="H111" s="19"/>
    </row>
    <row r="112" spans="1:8" ht="18" customHeight="1" x14ac:dyDescent="0.35">
      <c r="A112" s="47"/>
      <c r="B112" s="8" t="str">
        <v>Rewards Visa</v>
      </c>
      <c r="C112" s="61">
        <f ca="1"/>
        <v>16000</v>
      </c>
      <c r="D112" s="61">
        <f ca="1">IF(B112="","", ROUND(C112 * (VLOOKUP(B112, '💳 Debt Input'!$A$4:$G$9, 3, FALSE) / 12), 2))</f>
        <v>480</v>
      </c>
      <c r="E112" s="61" cm="1">
        <f t="array" aca="1" ref="E112" ca="1">IF(B112="","", ROUND(MIN(C112+D112, MAX(VLOOKUP(B112,'💳 Debt Input'!$A$4:$G$9,4,FALSE), $F$3 - IFERROR(SUM(OFFSET(E112, -MOD(ROW()-6, 6), 0, MOD(ROW()-6, 6))), 0) - IFERROR(SUM(SUMIF('💳 Debt Input'!$A$4:$A$9, OFFSET(B112, 1, 0, 5-MOD(ROW()-6, 6)), '💳 Debt Input'!$D$4:$D$9)), 0))), 2))</f>
        <v>480</v>
      </c>
      <c r="F112" s="61">
        <f t="shared" ca="1" si="4"/>
        <v>16000</v>
      </c>
      <c r="G112" s="19" t="str">
        <f t="shared" ca="1" si="5"/>
        <v>Active</v>
      </c>
      <c r="H112" s="19"/>
    </row>
    <row r="113" spans="1:8" ht="18" customHeight="1" x14ac:dyDescent="0.35">
      <c r="A113" s="51">
        <v>18</v>
      </c>
      <c r="B113" s="56" t="str" cm="1">
        <f t="array" ref="B113:B118">B107:B112</f>
        <v>Store Card</v>
      </c>
      <c r="C113" s="65" cm="1">
        <f t="array" aca="1" ref="C113:C118" ca="1">F107:F112</f>
        <v>0</v>
      </c>
      <c r="D113" s="65">
        <f ca="1">IF(B113="","", ROUND(C113 * (VLOOKUP(B113, '💳 Debt Input'!$A$4:$G$9, 3, FALSE) / 12), 2))</f>
        <v>0</v>
      </c>
      <c r="E113" s="65" cm="1">
        <f t="array" aca="1" ref="E113" ca="1">IF(B113="","", ROUND(MIN(C113+D113, MAX(VLOOKUP(B113,'💳 Debt Input'!$A$4:$G$9,4,FALSE), $F$3 - IFERROR(SUM(OFFSET(E113, -MOD(ROW()-6, 6), 0, MOD(ROW()-6, 6))), 0) - IFERROR(SUM(SUMIF('💳 Debt Input'!$A$4:$A$9, OFFSET(B113, 1, 0, 5-MOD(ROW()-6, 6)), '💳 Debt Input'!$D$4:$D$9)), 0))), 2))</f>
        <v>0</v>
      </c>
      <c r="F113" s="65">
        <f t="shared" ca="1" si="4"/>
        <v>0</v>
      </c>
      <c r="G113" s="25" t="str">
        <f t="shared" ca="1" si="5"/>
        <v>Paid off</v>
      </c>
      <c r="H113" s="25"/>
    </row>
    <row r="114" spans="1:8" ht="18" customHeight="1" x14ac:dyDescent="0.35">
      <c r="A114" s="52"/>
      <c r="B114" s="26" t="str">
        <v>Medical Bill</v>
      </c>
      <c r="C114" s="66">
        <f ca="1"/>
        <v>92.6</v>
      </c>
      <c r="D114" s="66">
        <f ca="1">IF(B114="","", ROUND(C114 * (VLOOKUP(B114, '💳 Debt Input'!$A$4:$G$9, 3, FALSE) / 12), 2))</f>
        <v>0.31</v>
      </c>
      <c r="E114" s="66" cm="1">
        <f t="array" aca="1" ref="E114" ca="1">IF(B114="","", ROUND(MIN(C114+D114, MAX(VLOOKUP(B114,'💳 Debt Input'!$A$4:$G$9,4,FALSE), $F$3 - IFERROR(SUM(OFFSET(E114, -MOD(ROW()-6, 6), 0, MOD(ROW()-6, 6))), 0) - IFERROR(SUM(SUMIF('💳 Debt Input'!$A$4:$A$9, OFFSET(B114, 1, 0, 5-MOD(ROW()-6, 6)), '💳 Debt Input'!$D$4:$D$9)), 0))), 2))</f>
        <v>25</v>
      </c>
      <c r="F114" s="66">
        <f t="shared" ca="1" si="4"/>
        <v>67.91</v>
      </c>
      <c r="G114" s="28" t="str">
        <f t="shared" ca="1" si="5"/>
        <v>Active</v>
      </c>
      <c r="H114" s="28"/>
    </row>
    <row r="115" spans="1:8" ht="18" customHeight="1" x14ac:dyDescent="0.35">
      <c r="A115" s="49"/>
      <c r="B115" s="6" t="str">
        <v>Personal Loan</v>
      </c>
      <c r="C115" s="63">
        <f ca="1"/>
        <v>924.86</v>
      </c>
      <c r="D115" s="63">
        <f ca="1">IF(B115="","", ROUND(C115 * (VLOOKUP(B115, '💳 Debt Input'!$A$4:$G$9, 3, FALSE) / 12), 2))</f>
        <v>4.62</v>
      </c>
      <c r="E115" s="63" cm="1">
        <f t="array" aca="1" ref="E115" ca="1">IF(B115="","", ROUND(MIN(C115+D115, MAX(VLOOKUP(B115,'💳 Debt Input'!$A$4:$G$9,4,FALSE), $F$3 - IFERROR(SUM(OFFSET(E115, -MOD(ROW()-6, 6), 0, MOD(ROW()-6, 6))), 0) - IFERROR(SUM(SUMIF('💳 Debt Input'!$A$4:$A$9, OFFSET(B115, 1, 0, 5-MOD(ROW()-6, 6)), '💳 Debt Input'!$D$4:$D$9)), 0))), 2))</f>
        <v>40</v>
      </c>
      <c r="F115" s="63">
        <f t="shared" ca="1" si="4"/>
        <v>889.48</v>
      </c>
      <c r="G115" s="22" t="str">
        <f t="shared" ca="1" si="5"/>
        <v>Active</v>
      </c>
      <c r="H115" s="22"/>
    </row>
    <row r="116" spans="1:8" ht="18" customHeight="1" x14ac:dyDescent="0.35">
      <c r="A116" s="49"/>
      <c r="B116" s="6" t="str">
        <v>Auto Loan</v>
      </c>
      <c r="C116" s="63">
        <f ca="1"/>
        <v>2424.2199999999998</v>
      </c>
      <c r="D116" s="63">
        <f ca="1">IF(B116="","", ROUND(C116 * (VLOOKUP(B116, '💳 Debt Input'!$A$4:$G$9, 3, FALSE) / 12), 2))</f>
        <v>20.2</v>
      </c>
      <c r="E116" s="63" cm="1">
        <f t="array" aca="1" ref="E116" ca="1">IF(B116="","", ROUND(MIN(C116+D116, MAX(VLOOKUP(B116,'💳 Debt Input'!$A$4:$G$9,4,FALSE), $F$3 - IFERROR(SUM(OFFSET(E116, -MOD(ROW()-6, 6), 0, MOD(ROW()-6, 6))), 0) - IFERROR(SUM(SUMIF('💳 Debt Input'!$A$4:$A$9, OFFSET(B116, 1, 0, 5-MOD(ROW()-6, 6)), '💳 Debt Input'!$D$4:$D$9)), 0))), 2))</f>
        <v>120</v>
      </c>
      <c r="F116" s="63">
        <f t="shared" ca="1" si="4"/>
        <v>2324.42</v>
      </c>
      <c r="G116" s="22" t="str">
        <f t="shared" ca="1" si="5"/>
        <v>Active</v>
      </c>
      <c r="H116" s="22"/>
    </row>
    <row r="117" spans="1:8" ht="18" customHeight="1" x14ac:dyDescent="0.35">
      <c r="A117" s="49"/>
      <c r="B117" s="6" t="str">
        <v>Travel Card</v>
      </c>
      <c r="C117" s="63">
        <f ca="1"/>
        <v>6407.83</v>
      </c>
      <c r="D117" s="63">
        <f ca="1">IF(B117="","", ROUND(C117 * (VLOOKUP(B117, '💳 Debt Input'!$A$4:$G$9, 3, FALSE) / 12), 2))</f>
        <v>96.12</v>
      </c>
      <c r="E117" s="63" cm="1">
        <f t="array" aca="1" ref="E117" ca="1">IF(B117="","", ROUND(MIN(C117+D117, MAX(VLOOKUP(B117,'💳 Debt Input'!$A$4:$G$9,4,FALSE), $F$3 - IFERROR(SUM(OFFSET(E117, -MOD(ROW()-6, 6), 0, MOD(ROW()-6, 6))), 0) - IFERROR(SUM(SUMIF('💳 Debt Input'!$A$4:$A$9, OFFSET(B117, 1, 0, 5-MOD(ROW()-6, 6)), '💳 Debt Input'!$D$4:$D$9)), 0))), 2))</f>
        <v>270</v>
      </c>
      <c r="F117" s="63">
        <f t="shared" ca="1" si="4"/>
        <v>6233.95</v>
      </c>
      <c r="G117" s="22" t="str">
        <f t="shared" ca="1" si="5"/>
        <v>Active</v>
      </c>
      <c r="H117" s="22"/>
    </row>
    <row r="118" spans="1:8" ht="18" customHeight="1" x14ac:dyDescent="0.35">
      <c r="A118" s="49"/>
      <c r="B118" s="6" t="str">
        <v>Rewards Visa</v>
      </c>
      <c r="C118" s="63">
        <f ca="1"/>
        <v>16000</v>
      </c>
      <c r="D118" s="63">
        <f ca="1">IF(B118="","", ROUND(C118 * (VLOOKUP(B118, '💳 Debt Input'!$A$4:$G$9, 3, FALSE) / 12), 2))</f>
        <v>480</v>
      </c>
      <c r="E118" s="63" cm="1">
        <f t="array" aca="1" ref="E118" ca="1">IF(B118="","", ROUND(MIN(C118+D118, MAX(VLOOKUP(B118,'💳 Debt Input'!$A$4:$G$9,4,FALSE), $F$3 - IFERROR(SUM(OFFSET(E118, -MOD(ROW()-6, 6), 0, MOD(ROW()-6, 6))), 0) - IFERROR(SUM(SUMIF('💳 Debt Input'!$A$4:$A$9, OFFSET(B118, 1, 0, 5-MOD(ROW()-6, 6)), '💳 Debt Input'!$D$4:$D$9)), 0))), 2))</f>
        <v>480</v>
      </c>
      <c r="F118" s="63">
        <f t="shared" ca="1" si="4"/>
        <v>16000</v>
      </c>
      <c r="G118" s="22" t="str">
        <f t="shared" ca="1" si="5"/>
        <v>Active</v>
      </c>
      <c r="H118" s="22"/>
    </row>
    <row r="119" spans="1:8" ht="18" customHeight="1" x14ac:dyDescent="0.35">
      <c r="A119" s="51">
        <v>19</v>
      </c>
      <c r="B119" s="56" t="str" cm="1">
        <f t="array" ref="B119:B124">B113:B118</f>
        <v>Store Card</v>
      </c>
      <c r="C119" s="65" cm="1">
        <f t="array" aca="1" ref="C119:C124" ca="1">F113:F118</f>
        <v>0</v>
      </c>
      <c r="D119" s="65">
        <f ca="1">IF(B119="","", ROUND(C119 * (VLOOKUP(B119, '💳 Debt Input'!$A$4:$G$9, 3, FALSE) / 12), 2))</f>
        <v>0</v>
      </c>
      <c r="E119" s="65" cm="1">
        <f t="array" aca="1" ref="E119" ca="1">IF(B119="","", ROUND(MIN(C119+D119, MAX(VLOOKUP(B119,'💳 Debt Input'!$A$4:$G$9,4,FALSE), $F$3 - IFERROR(SUM(OFFSET(E119, -MOD(ROW()-6, 6), 0, MOD(ROW()-6, 6))), 0) - IFERROR(SUM(SUMIF('💳 Debt Input'!$A$4:$A$9, OFFSET(B119, 1, 0, 5-MOD(ROW()-6, 6)), '💳 Debt Input'!$D$4:$D$9)), 0))), 2))</f>
        <v>0</v>
      </c>
      <c r="F119" s="65">
        <f t="shared" ca="1" si="4"/>
        <v>0</v>
      </c>
      <c r="G119" s="25" t="str">
        <f t="shared" ca="1" si="5"/>
        <v>Paid off</v>
      </c>
      <c r="H119" s="25"/>
    </row>
    <row r="120" spans="1:8" ht="18" customHeight="1" x14ac:dyDescent="0.35">
      <c r="A120" s="52"/>
      <c r="B120" s="26" t="str">
        <v>Medical Bill</v>
      </c>
      <c r="C120" s="66">
        <f ca="1"/>
        <v>67.91</v>
      </c>
      <c r="D120" s="66">
        <f ca="1">IF(B120="","", ROUND(C120 * (VLOOKUP(B120, '💳 Debt Input'!$A$4:$G$9, 3, FALSE) / 12), 2))</f>
        <v>0.23</v>
      </c>
      <c r="E120" s="66" cm="1">
        <f t="array" aca="1" ref="E120" ca="1">IF(B120="","", ROUND(MIN(C120+D120, MAX(VLOOKUP(B120,'💳 Debt Input'!$A$4:$G$9,4,FALSE), $F$3 - IFERROR(SUM(OFFSET(E120, -MOD(ROW()-6, 6), 0, MOD(ROW()-6, 6))), 0) - IFERROR(SUM(SUMIF('💳 Debt Input'!$A$4:$A$9, OFFSET(B120, 1, 0, 5-MOD(ROW()-6, 6)), '💳 Debt Input'!$D$4:$D$9)), 0))), 2))</f>
        <v>25</v>
      </c>
      <c r="F120" s="66">
        <f t="shared" ca="1" si="4"/>
        <v>43.14</v>
      </c>
      <c r="G120" s="28" t="str">
        <f t="shared" ca="1" si="5"/>
        <v>Active</v>
      </c>
      <c r="H120" s="28"/>
    </row>
    <row r="121" spans="1:8" ht="18" customHeight="1" x14ac:dyDescent="0.35">
      <c r="A121" s="47"/>
      <c r="B121" s="8" t="str">
        <v>Personal Loan</v>
      </c>
      <c r="C121" s="61">
        <f ca="1"/>
        <v>889.48</v>
      </c>
      <c r="D121" s="61">
        <f ca="1">IF(B121="","", ROUND(C121 * (VLOOKUP(B121, '💳 Debt Input'!$A$4:$G$9, 3, FALSE) / 12), 2))</f>
        <v>4.45</v>
      </c>
      <c r="E121" s="61" cm="1">
        <f t="array" aca="1" ref="E121" ca="1">IF(B121="","", ROUND(MIN(C121+D121, MAX(VLOOKUP(B121,'💳 Debt Input'!$A$4:$G$9,4,FALSE), $F$3 - IFERROR(SUM(OFFSET(E121, -MOD(ROW()-6, 6), 0, MOD(ROW()-6, 6))), 0) - IFERROR(SUM(SUMIF('💳 Debt Input'!$A$4:$A$9, OFFSET(B121, 1, 0, 5-MOD(ROW()-6, 6)), '💳 Debt Input'!$D$4:$D$9)), 0))), 2))</f>
        <v>40</v>
      </c>
      <c r="F121" s="61">
        <f t="shared" ca="1" si="4"/>
        <v>853.93</v>
      </c>
      <c r="G121" s="19" t="str">
        <f t="shared" ca="1" si="5"/>
        <v>Active</v>
      </c>
      <c r="H121" s="19"/>
    </row>
    <row r="122" spans="1:8" ht="18" customHeight="1" x14ac:dyDescent="0.35">
      <c r="A122" s="47"/>
      <c r="B122" s="8" t="str">
        <v>Auto Loan</v>
      </c>
      <c r="C122" s="61">
        <f ca="1"/>
        <v>2324.42</v>
      </c>
      <c r="D122" s="61">
        <f ca="1">IF(B122="","", ROUND(C122 * (VLOOKUP(B122, '💳 Debt Input'!$A$4:$G$9, 3, FALSE) / 12), 2))</f>
        <v>19.37</v>
      </c>
      <c r="E122" s="61" cm="1">
        <f t="array" aca="1" ref="E122" ca="1">IF(B122="","", ROUND(MIN(C122+D122, MAX(VLOOKUP(B122,'💳 Debt Input'!$A$4:$G$9,4,FALSE), $F$3 - IFERROR(SUM(OFFSET(E122, -MOD(ROW()-6, 6), 0, MOD(ROW()-6, 6))), 0) - IFERROR(SUM(SUMIF('💳 Debt Input'!$A$4:$A$9, OFFSET(B122, 1, 0, 5-MOD(ROW()-6, 6)), '💳 Debt Input'!$D$4:$D$9)), 0))), 2))</f>
        <v>120</v>
      </c>
      <c r="F122" s="61">
        <f t="shared" ca="1" si="4"/>
        <v>2223.79</v>
      </c>
      <c r="G122" s="19" t="str">
        <f t="shared" ca="1" si="5"/>
        <v>Active</v>
      </c>
      <c r="H122" s="19"/>
    </row>
    <row r="123" spans="1:8" ht="18" customHeight="1" x14ac:dyDescent="0.35">
      <c r="A123" s="47"/>
      <c r="B123" s="8" t="str">
        <v>Travel Card</v>
      </c>
      <c r="C123" s="61">
        <f ca="1"/>
        <v>6233.95</v>
      </c>
      <c r="D123" s="61">
        <f ca="1">IF(B123="","", ROUND(C123 * (VLOOKUP(B123, '💳 Debt Input'!$A$4:$G$9, 3, FALSE) / 12), 2))</f>
        <v>93.51</v>
      </c>
      <c r="E123" s="61" cm="1">
        <f t="array" aca="1" ref="E123" ca="1">IF(B123="","", ROUND(MIN(C123+D123, MAX(VLOOKUP(B123,'💳 Debt Input'!$A$4:$G$9,4,FALSE), $F$3 - IFERROR(SUM(OFFSET(E123, -MOD(ROW()-6, 6), 0, MOD(ROW()-6, 6))), 0) - IFERROR(SUM(SUMIF('💳 Debt Input'!$A$4:$A$9, OFFSET(B123, 1, 0, 5-MOD(ROW()-6, 6)), '💳 Debt Input'!$D$4:$D$9)), 0))), 2))</f>
        <v>270</v>
      </c>
      <c r="F123" s="61">
        <f t="shared" ca="1" si="4"/>
        <v>6057.46</v>
      </c>
      <c r="G123" s="19" t="str">
        <f t="shared" ca="1" si="5"/>
        <v>Active</v>
      </c>
      <c r="H123" s="19"/>
    </row>
    <row r="124" spans="1:8" ht="18" customHeight="1" x14ac:dyDescent="0.35">
      <c r="A124" s="47"/>
      <c r="B124" s="8" t="str">
        <v>Rewards Visa</v>
      </c>
      <c r="C124" s="61">
        <f ca="1"/>
        <v>16000</v>
      </c>
      <c r="D124" s="61">
        <f ca="1">IF(B124="","", ROUND(C124 * (VLOOKUP(B124, '💳 Debt Input'!$A$4:$G$9, 3, FALSE) / 12), 2))</f>
        <v>480</v>
      </c>
      <c r="E124" s="61" cm="1">
        <f t="array" aca="1" ref="E124" ca="1">IF(B124="","", ROUND(MIN(C124+D124, MAX(VLOOKUP(B124,'💳 Debt Input'!$A$4:$G$9,4,FALSE), $F$3 - IFERROR(SUM(OFFSET(E124, -MOD(ROW()-6, 6), 0, MOD(ROW()-6, 6))), 0) - IFERROR(SUM(SUMIF('💳 Debt Input'!$A$4:$A$9, OFFSET(B124, 1, 0, 5-MOD(ROW()-6, 6)), '💳 Debt Input'!$D$4:$D$9)), 0))), 2))</f>
        <v>480</v>
      </c>
      <c r="F124" s="61">
        <f t="shared" ca="1" si="4"/>
        <v>16000</v>
      </c>
      <c r="G124" s="19" t="str">
        <f t="shared" ca="1" si="5"/>
        <v>Active</v>
      </c>
      <c r="H124" s="19"/>
    </row>
    <row r="125" spans="1:8" ht="18" customHeight="1" x14ac:dyDescent="0.35">
      <c r="A125" s="51">
        <v>20</v>
      </c>
      <c r="B125" s="56" t="str" cm="1">
        <f t="array" ref="B125:B130">B119:B124</f>
        <v>Store Card</v>
      </c>
      <c r="C125" s="65" cm="1">
        <f t="array" aca="1" ref="C125:C130" ca="1">F119:F124</f>
        <v>0</v>
      </c>
      <c r="D125" s="65">
        <f ca="1">IF(B125="","", ROUND(C125 * (VLOOKUP(B125, '💳 Debt Input'!$A$4:$G$9, 3, FALSE) / 12), 2))</f>
        <v>0</v>
      </c>
      <c r="E125" s="65" cm="1">
        <f t="array" aca="1" ref="E125" ca="1">IF(B125="","", ROUND(MIN(C125+D125, MAX(VLOOKUP(B125,'💳 Debt Input'!$A$4:$G$9,4,FALSE), $F$3 - IFERROR(SUM(OFFSET(E125, -MOD(ROW()-6, 6), 0, MOD(ROW()-6, 6))), 0) - IFERROR(SUM(SUMIF('💳 Debt Input'!$A$4:$A$9, OFFSET(B125, 1, 0, 5-MOD(ROW()-6, 6)), '💳 Debt Input'!$D$4:$D$9)), 0))), 2))</f>
        <v>0</v>
      </c>
      <c r="F125" s="65">
        <f t="shared" ca="1" si="4"/>
        <v>0</v>
      </c>
      <c r="G125" s="25" t="str">
        <f t="shared" ca="1" si="5"/>
        <v>Paid off</v>
      </c>
      <c r="H125" s="25"/>
    </row>
    <row r="126" spans="1:8" ht="18" customHeight="1" x14ac:dyDescent="0.35">
      <c r="A126" s="52"/>
      <c r="B126" s="26" t="str">
        <v>Medical Bill</v>
      </c>
      <c r="C126" s="66">
        <f ca="1"/>
        <v>43.14</v>
      </c>
      <c r="D126" s="66">
        <f ca="1">IF(B126="","", ROUND(C126 * (VLOOKUP(B126, '💳 Debt Input'!$A$4:$G$9, 3, FALSE) / 12), 2))</f>
        <v>0.14000000000000001</v>
      </c>
      <c r="E126" s="66" cm="1">
        <f t="array" aca="1" ref="E126" ca="1">IF(B126="","", ROUND(MIN(C126+D126, MAX(VLOOKUP(B126,'💳 Debt Input'!$A$4:$G$9,4,FALSE), $F$3 - IFERROR(SUM(OFFSET(E126, -MOD(ROW()-6, 6), 0, MOD(ROW()-6, 6))), 0) - IFERROR(SUM(SUMIF('💳 Debt Input'!$A$4:$A$9, OFFSET(B126, 1, 0, 5-MOD(ROW()-6, 6)), '💳 Debt Input'!$D$4:$D$9)), 0))), 2))</f>
        <v>25</v>
      </c>
      <c r="F126" s="66">
        <f t="shared" ca="1" si="4"/>
        <v>18.28</v>
      </c>
      <c r="G126" s="28" t="str">
        <f t="shared" ca="1" si="5"/>
        <v>Active</v>
      </c>
      <c r="H126" s="28"/>
    </row>
    <row r="127" spans="1:8" ht="18" customHeight="1" x14ac:dyDescent="0.35">
      <c r="A127" s="49"/>
      <c r="B127" s="6" t="str">
        <v>Personal Loan</v>
      </c>
      <c r="C127" s="63">
        <f ca="1"/>
        <v>853.93</v>
      </c>
      <c r="D127" s="63">
        <f ca="1">IF(B127="","", ROUND(C127 * (VLOOKUP(B127, '💳 Debt Input'!$A$4:$G$9, 3, FALSE) / 12), 2))</f>
        <v>4.2699999999999996</v>
      </c>
      <c r="E127" s="63" cm="1">
        <f t="array" aca="1" ref="E127" ca="1">IF(B127="","", ROUND(MIN(C127+D127, MAX(VLOOKUP(B127,'💳 Debt Input'!$A$4:$G$9,4,FALSE), $F$3 - IFERROR(SUM(OFFSET(E127, -MOD(ROW()-6, 6), 0, MOD(ROW()-6, 6))), 0) - IFERROR(SUM(SUMIF('💳 Debt Input'!$A$4:$A$9, OFFSET(B127, 1, 0, 5-MOD(ROW()-6, 6)), '💳 Debt Input'!$D$4:$D$9)), 0))), 2))</f>
        <v>40</v>
      </c>
      <c r="F127" s="63">
        <f t="shared" ca="1" si="4"/>
        <v>818.2</v>
      </c>
      <c r="G127" s="22" t="str">
        <f t="shared" ca="1" si="5"/>
        <v>Active</v>
      </c>
      <c r="H127" s="22"/>
    </row>
    <row r="128" spans="1:8" ht="18" customHeight="1" x14ac:dyDescent="0.35">
      <c r="A128" s="49"/>
      <c r="B128" s="6" t="str">
        <v>Auto Loan</v>
      </c>
      <c r="C128" s="63">
        <f ca="1"/>
        <v>2223.79</v>
      </c>
      <c r="D128" s="63">
        <f ca="1">IF(B128="","", ROUND(C128 * (VLOOKUP(B128, '💳 Debt Input'!$A$4:$G$9, 3, FALSE) / 12), 2))</f>
        <v>18.53</v>
      </c>
      <c r="E128" s="63" cm="1">
        <f t="array" aca="1" ref="E128" ca="1">IF(B128="","", ROUND(MIN(C128+D128, MAX(VLOOKUP(B128,'💳 Debt Input'!$A$4:$G$9,4,FALSE), $F$3 - IFERROR(SUM(OFFSET(E128, -MOD(ROW()-6, 6), 0, MOD(ROW()-6, 6))), 0) - IFERROR(SUM(SUMIF('💳 Debt Input'!$A$4:$A$9, OFFSET(B128, 1, 0, 5-MOD(ROW()-6, 6)), '💳 Debt Input'!$D$4:$D$9)), 0))), 2))</f>
        <v>120</v>
      </c>
      <c r="F128" s="63">
        <f t="shared" ca="1" si="4"/>
        <v>2122.3200000000002</v>
      </c>
      <c r="G128" s="22" t="str">
        <f t="shared" ca="1" si="5"/>
        <v>Active</v>
      </c>
      <c r="H128" s="22"/>
    </row>
    <row r="129" spans="1:8" ht="18" customHeight="1" x14ac:dyDescent="0.35">
      <c r="A129" s="49"/>
      <c r="B129" s="6" t="str">
        <v>Travel Card</v>
      </c>
      <c r="C129" s="63">
        <f ca="1"/>
        <v>6057.46</v>
      </c>
      <c r="D129" s="63">
        <f ca="1">IF(B129="","", ROUND(C129 * (VLOOKUP(B129, '💳 Debt Input'!$A$4:$G$9, 3, FALSE) / 12), 2))</f>
        <v>90.86</v>
      </c>
      <c r="E129" s="63" cm="1">
        <f t="array" aca="1" ref="E129" ca="1">IF(B129="","", ROUND(MIN(C129+D129, MAX(VLOOKUP(B129,'💳 Debt Input'!$A$4:$G$9,4,FALSE), $F$3 - IFERROR(SUM(OFFSET(E129, -MOD(ROW()-6, 6), 0, MOD(ROW()-6, 6))), 0) - IFERROR(SUM(SUMIF('💳 Debt Input'!$A$4:$A$9, OFFSET(B129, 1, 0, 5-MOD(ROW()-6, 6)), '💳 Debt Input'!$D$4:$D$9)), 0))), 2))</f>
        <v>270</v>
      </c>
      <c r="F129" s="63">
        <f t="shared" ca="1" si="4"/>
        <v>5878.32</v>
      </c>
      <c r="G129" s="22" t="str">
        <f t="shared" ca="1" si="5"/>
        <v>Active</v>
      </c>
      <c r="H129" s="22"/>
    </row>
    <row r="130" spans="1:8" ht="18" customHeight="1" x14ac:dyDescent="0.35">
      <c r="A130" s="49"/>
      <c r="B130" s="6" t="str">
        <v>Rewards Visa</v>
      </c>
      <c r="C130" s="63">
        <f ca="1"/>
        <v>16000</v>
      </c>
      <c r="D130" s="63">
        <f ca="1">IF(B130="","", ROUND(C130 * (VLOOKUP(B130, '💳 Debt Input'!$A$4:$G$9, 3, FALSE) / 12), 2))</f>
        <v>480</v>
      </c>
      <c r="E130" s="63" cm="1">
        <f t="array" aca="1" ref="E130" ca="1">IF(B130="","", ROUND(MIN(C130+D130, MAX(VLOOKUP(B130,'💳 Debt Input'!$A$4:$G$9,4,FALSE), $F$3 - IFERROR(SUM(OFFSET(E130, -MOD(ROW()-6, 6), 0, MOD(ROW()-6, 6))), 0) - IFERROR(SUM(SUMIF('💳 Debt Input'!$A$4:$A$9, OFFSET(B130, 1, 0, 5-MOD(ROW()-6, 6)), '💳 Debt Input'!$D$4:$D$9)), 0))), 2))</f>
        <v>480</v>
      </c>
      <c r="F130" s="63">
        <f t="shared" ca="1" si="4"/>
        <v>16000</v>
      </c>
      <c r="G130" s="22" t="str">
        <f t="shared" ca="1" si="5"/>
        <v>Active</v>
      </c>
      <c r="H130" s="22"/>
    </row>
    <row r="131" spans="1:8" ht="18" customHeight="1" x14ac:dyDescent="0.35">
      <c r="A131" s="51">
        <v>21</v>
      </c>
      <c r="B131" s="56" t="str" cm="1">
        <f t="array" ref="B131:B136">B125:B130</f>
        <v>Store Card</v>
      </c>
      <c r="C131" s="65" cm="1">
        <f t="array" aca="1" ref="C131:C136" ca="1">F125:F130</f>
        <v>0</v>
      </c>
      <c r="D131" s="65">
        <f ca="1">IF(B131="","", ROUND(C131 * (VLOOKUP(B131, '💳 Debt Input'!$A$4:$G$9, 3, FALSE) / 12), 2))</f>
        <v>0</v>
      </c>
      <c r="E131" s="65" cm="1">
        <f t="array" aca="1" ref="E131" ca="1">IF(B131="","", ROUND(MIN(C131+D131, MAX(VLOOKUP(B131,'💳 Debt Input'!$A$4:$G$9,4,FALSE), $F$3 - IFERROR(SUM(OFFSET(E131, -MOD(ROW()-6, 6), 0, MOD(ROW()-6, 6))), 0) - IFERROR(SUM(SUMIF('💳 Debt Input'!$A$4:$A$9, OFFSET(B131, 1, 0, 5-MOD(ROW()-6, 6)), '💳 Debt Input'!$D$4:$D$9)), 0))), 2))</f>
        <v>0</v>
      </c>
      <c r="F131" s="65">
        <f t="shared" ca="1" si="4"/>
        <v>0</v>
      </c>
      <c r="G131" s="25" t="str">
        <f t="shared" ca="1" si="5"/>
        <v>Paid off</v>
      </c>
      <c r="H131" s="25"/>
    </row>
    <row r="132" spans="1:8" ht="18" customHeight="1" x14ac:dyDescent="0.35">
      <c r="A132" s="52"/>
      <c r="B132" s="26" t="str">
        <v>Medical Bill</v>
      </c>
      <c r="C132" s="66">
        <f ca="1"/>
        <v>18.28</v>
      </c>
      <c r="D132" s="66">
        <f ca="1">IF(B132="","", ROUND(C132 * (VLOOKUP(B132, '💳 Debt Input'!$A$4:$G$9, 3, FALSE) / 12), 2))</f>
        <v>0.06</v>
      </c>
      <c r="E132" s="66" cm="1">
        <f t="array" aca="1" ref="E132" ca="1">IF(B132="","", ROUND(MIN(C132+D132, MAX(VLOOKUP(B132,'💳 Debt Input'!$A$4:$G$9,4,FALSE), $F$3 - IFERROR(SUM(OFFSET(E132, -MOD(ROW()-6, 6), 0, MOD(ROW()-6, 6))), 0) - IFERROR(SUM(SUMIF('💳 Debt Input'!$A$4:$A$9, OFFSET(B132, 1, 0, 5-MOD(ROW()-6, 6)), '💳 Debt Input'!$D$4:$D$9)), 0))), 2))</f>
        <v>18.34</v>
      </c>
      <c r="F132" s="66">
        <f t="shared" ca="1" si="4"/>
        <v>0</v>
      </c>
      <c r="G132" s="28" t="str">
        <f t="shared" ca="1" si="5"/>
        <v>Paid off</v>
      </c>
      <c r="H132" s="28"/>
    </row>
    <row r="133" spans="1:8" ht="18" customHeight="1" x14ac:dyDescent="0.35">
      <c r="A133" s="47"/>
      <c r="B133" s="8" t="str">
        <v>Personal Loan</v>
      </c>
      <c r="C133" s="61">
        <f ca="1"/>
        <v>818.2</v>
      </c>
      <c r="D133" s="61">
        <f ca="1">IF(B133="","", ROUND(C133 * (VLOOKUP(B133, '💳 Debt Input'!$A$4:$G$9, 3, FALSE) / 12), 2))</f>
        <v>4.09</v>
      </c>
      <c r="E133" s="61" cm="1">
        <f t="array" aca="1" ref="E133" ca="1">IF(B133="","", ROUND(MIN(C133+D133, MAX(VLOOKUP(B133,'💳 Debt Input'!$A$4:$G$9,4,FALSE), $F$3 - IFERROR(SUM(OFFSET(E133, -MOD(ROW()-6, 6), 0, MOD(ROW()-6, 6))), 0) - IFERROR(SUM(SUMIF('💳 Debt Input'!$A$4:$A$9, OFFSET(B133, 1, 0, 5-MOD(ROW()-6, 6)), '💳 Debt Input'!$D$4:$D$9)), 0))), 2))</f>
        <v>46.66</v>
      </c>
      <c r="F133" s="61">
        <f t="shared" ca="1" si="4"/>
        <v>775.63</v>
      </c>
      <c r="G133" s="19" t="str">
        <f t="shared" ca="1" si="5"/>
        <v>Active</v>
      </c>
      <c r="H133" s="19"/>
    </row>
    <row r="134" spans="1:8" ht="18" customHeight="1" x14ac:dyDescent="0.35">
      <c r="A134" s="47"/>
      <c r="B134" s="8" t="str">
        <v>Auto Loan</v>
      </c>
      <c r="C134" s="61">
        <f ca="1"/>
        <v>2122.3200000000002</v>
      </c>
      <c r="D134" s="61">
        <f ca="1">IF(B134="","", ROUND(C134 * (VLOOKUP(B134, '💳 Debt Input'!$A$4:$G$9, 3, FALSE) / 12), 2))</f>
        <v>17.690000000000001</v>
      </c>
      <c r="E134" s="61" cm="1">
        <f t="array" aca="1" ref="E134" ca="1">IF(B134="","", ROUND(MIN(C134+D134, MAX(VLOOKUP(B134,'💳 Debt Input'!$A$4:$G$9,4,FALSE), $F$3 - IFERROR(SUM(OFFSET(E134, -MOD(ROW()-6, 6), 0, MOD(ROW()-6, 6))), 0) - IFERROR(SUM(SUMIF('💳 Debt Input'!$A$4:$A$9, OFFSET(B134, 1, 0, 5-MOD(ROW()-6, 6)), '💳 Debt Input'!$D$4:$D$9)), 0))), 2))</f>
        <v>120</v>
      </c>
      <c r="F134" s="61">
        <f t="shared" ca="1" si="4"/>
        <v>2020.01</v>
      </c>
      <c r="G134" s="19" t="str">
        <f t="shared" ca="1" si="5"/>
        <v>Active</v>
      </c>
      <c r="H134" s="19"/>
    </row>
    <row r="135" spans="1:8" ht="18" customHeight="1" x14ac:dyDescent="0.35">
      <c r="A135" s="47"/>
      <c r="B135" s="8" t="str">
        <v>Travel Card</v>
      </c>
      <c r="C135" s="61">
        <f ca="1"/>
        <v>5878.32</v>
      </c>
      <c r="D135" s="61">
        <f ca="1">IF(B135="","", ROUND(C135 * (VLOOKUP(B135, '💳 Debt Input'!$A$4:$G$9, 3, FALSE) / 12), 2))</f>
        <v>88.17</v>
      </c>
      <c r="E135" s="61" cm="1">
        <f t="array" aca="1" ref="E135" ca="1">IF(B135="","", ROUND(MIN(C135+D135, MAX(VLOOKUP(B135,'💳 Debt Input'!$A$4:$G$9,4,FALSE), $F$3 - IFERROR(SUM(OFFSET(E135, -MOD(ROW()-6, 6), 0, MOD(ROW()-6, 6))), 0) - IFERROR(SUM(SUMIF('💳 Debt Input'!$A$4:$A$9, OFFSET(B135, 1, 0, 5-MOD(ROW()-6, 6)), '💳 Debt Input'!$D$4:$D$9)), 0))), 2))</f>
        <v>270</v>
      </c>
      <c r="F135" s="61">
        <f t="shared" ca="1" si="4"/>
        <v>5696.49</v>
      </c>
      <c r="G135" s="19" t="str">
        <f t="shared" ca="1" si="5"/>
        <v>Active</v>
      </c>
      <c r="H135" s="19"/>
    </row>
    <row r="136" spans="1:8" ht="18" customHeight="1" x14ac:dyDescent="0.35">
      <c r="A136" s="47"/>
      <c r="B136" s="8" t="str">
        <v>Rewards Visa</v>
      </c>
      <c r="C136" s="61">
        <f ca="1"/>
        <v>16000</v>
      </c>
      <c r="D136" s="61">
        <f ca="1">IF(B136="","", ROUND(C136 * (VLOOKUP(B136, '💳 Debt Input'!$A$4:$G$9, 3, FALSE) / 12), 2))</f>
        <v>480</v>
      </c>
      <c r="E136" s="61" cm="1">
        <f t="array" aca="1" ref="E136" ca="1">IF(B136="","", ROUND(MIN(C136+D136, MAX(VLOOKUP(B136,'💳 Debt Input'!$A$4:$G$9,4,FALSE), $F$3 - IFERROR(SUM(OFFSET(E136, -MOD(ROW()-6, 6), 0, MOD(ROW()-6, 6))), 0) - IFERROR(SUM(SUMIF('💳 Debt Input'!$A$4:$A$9, OFFSET(B136, 1, 0, 5-MOD(ROW()-6, 6)), '💳 Debt Input'!$D$4:$D$9)), 0))), 2))</f>
        <v>480</v>
      </c>
      <c r="F136" s="61">
        <f t="shared" ca="1" si="4"/>
        <v>16000</v>
      </c>
      <c r="G136" s="19" t="str">
        <f t="shared" ca="1" si="5"/>
        <v>Active</v>
      </c>
      <c r="H136" s="19"/>
    </row>
    <row r="137" spans="1:8" ht="18" customHeight="1" x14ac:dyDescent="0.35">
      <c r="A137" s="51">
        <v>22</v>
      </c>
      <c r="B137" s="56" t="str" cm="1">
        <f t="array" ref="B137:B142">B131:B136</f>
        <v>Store Card</v>
      </c>
      <c r="C137" s="65" cm="1">
        <f t="array" aca="1" ref="C137:C142" ca="1">F131:F136</f>
        <v>0</v>
      </c>
      <c r="D137" s="65">
        <f ca="1">IF(B137="","", ROUND(C137 * (VLOOKUP(B137, '💳 Debt Input'!$A$4:$G$9, 3, FALSE) / 12), 2))</f>
        <v>0</v>
      </c>
      <c r="E137" s="65" cm="1">
        <f t="array" aca="1" ref="E137" ca="1">IF(B137="","", ROUND(MIN(C137+D137, MAX(VLOOKUP(B137,'💳 Debt Input'!$A$4:$G$9,4,FALSE), $F$3 - IFERROR(SUM(OFFSET(E137, -MOD(ROW()-6, 6), 0, MOD(ROW()-6, 6))), 0) - IFERROR(SUM(SUMIF('💳 Debt Input'!$A$4:$A$9, OFFSET(B137, 1, 0, 5-MOD(ROW()-6, 6)), '💳 Debt Input'!$D$4:$D$9)), 0))), 2))</f>
        <v>0</v>
      </c>
      <c r="F137" s="65">
        <f t="shared" ca="1" si="4"/>
        <v>0</v>
      </c>
      <c r="G137" s="25" t="str">
        <f t="shared" ca="1" si="5"/>
        <v>Paid off</v>
      </c>
      <c r="H137" s="25"/>
    </row>
    <row r="138" spans="1:8" ht="18" customHeight="1" x14ac:dyDescent="0.35">
      <c r="A138" s="52"/>
      <c r="B138" s="26" t="str">
        <v>Medical Bill</v>
      </c>
      <c r="C138" s="66">
        <f ca="1"/>
        <v>0</v>
      </c>
      <c r="D138" s="66">
        <f ca="1">IF(B138="","", ROUND(C138 * (VLOOKUP(B138, '💳 Debt Input'!$A$4:$G$9, 3, FALSE) / 12), 2))</f>
        <v>0</v>
      </c>
      <c r="E138" s="66" cm="1">
        <f t="array" aca="1" ref="E138" ca="1">IF(B138="","", ROUND(MIN(C138+D138, MAX(VLOOKUP(B138,'💳 Debt Input'!$A$4:$G$9,4,FALSE), $F$3 - IFERROR(SUM(OFFSET(E138, -MOD(ROW()-6, 6), 0, MOD(ROW()-6, 6))), 0) - IFERROR(SUM(SUMIF('💳 Debt Input'!$A$4:$A$9, OFFSET(B138, 1, 0, 5-MOD(ROW()-6, 6)), '💳 Debt Input'!$D$4:$D$9)), 0))), 2))</f>
        <v>0</v>
      </c>
      <c r="F138" s="66">
        <f t="shared" ca="1" si="4"/>
        <v>0</v>
      </c>
      <c r="G138" s="28" t="str">
        <f t="shared" ca="1" si="5"/>
        <v>Paid off</v>
      </c>
      <c r="H138" s="28"/>
    </row>
    <row r="139" spans="1:8" ht="18" customHeight="1" x14ac:dyDescent="0.35">
      <c r="A139" s="49"/>
      <c r="B139" s="6" t="str">
        <v>Personal Loan</v>
      </c>
      <c r="C139" s="63">
        <f ca="1"/>
        <v>775.63</v>
      </c>
      <c r="D139" s="63">
        <f ca="1">IF(B139="","", ROUND(C139 * (VLOOKUP(B139, '💳 Debt Input'!$A$4:$G$9, 3, FALSE) / 12), 2))</f>
        <v>3.88</v>
      </c>
      <c r="E139" s="63" cm="1">
        <f t="array" aca="1" ref="E139" ca="1">IF(B139="","", ROUND(MIN(C139+D139, MAX(VLOOKUP(B139,'💳 Debt Input'!$A$4:$G$9,4,FALSE), $F$3 - IFERROR(SUM(OFFSET(E139, -MOD(ROW()-6, 6), 0, MOD(ROW()-6, 6))), 0) - IFERROR(SUM(SUMIF('💳 Debt Input'!$A$4:$A$9, OFFSET(B139, 1, 0, 5-MOD(ROW()-6, 6)), '💳 Debt Input'!$D$4:$D$9)), 0))), 2))</f>
        <v>65</v>
      </c>
      <c r="F139" s="63">
        <f t="shared" ca="1" si="4"/>
        <v>714.51</v>
      </c>
      <c r="G139" s="22" t="str">
        <f t="shared" ca="1" si="5"/>
        <v>Active</v>
      </c>
      <c r="H139" s="22"/>
    </row>
    <row r="140" spans="1:8" ht="18" customHeight="1" x14ac:dyDescent="0.35">
      <c r="A140" s="49"/>
      <c r="B140" s="6" t="str">
        <v>Auto Loan</v>
      </c>
      <c r="C140" s="63">
        <f ca="1"/>
        <v>2020.01</v>
      </c>
      <c r="D140" s="63">
        <f ca="1">IF(B140="","", ROUND(C140 * (VLOOKUP(B140, '💳 Debt Input'!$A$4:$G$9, 3, FALSE) / 12), 2))</f>
        <v>16.829999999999998</v>
      </c>
      <c r="E140" s="63" cm="1">
        <f t="array" aca="1" ref="E140" ca="1">IF(B140="","", ROUND(MIN(C140+D140, MAX(VLOOKUP(B140,'💳 Debt Input'!$A$4:$G$9,4,FALSE), $F$3 - IFERROR(SUM(OFFSET(E140, -MOD(ROW()-6, 6), 0, MOD(ROW()-6, 6))), 0) - IFERROR(SUM(SUMIF('💳 Debt Input'!$A$4:$A$9, OFFSET(B140, 1, 0, 5-MOD(ROW()-6, 6)), '💳 Debt Input'!$D$4:$D$9)), 0))), 2))</f>
        <v>120</v>
      </c>
      <c r="F140" s="63">
        <f t="shared" ca="1" si="4"/>
        <v>1916.84</v>
      </c>
      <c r="G140" s="22" t="str">
        <f t="shared" ca="1" si="5"/>
        <v>Active</v>
      </c>
      <c r="H140" s="22"/>
    </row>
    <row r="141" spans="1:8" ht="18" customHeight="1" x14ac:dyDescent="0.35">
      <c r="A141" s="49"/>
      <c r="B141" s="6" t="str">
        <v>Travel Card</v>
      </c>
      <c r="C141" s="63">
        <f ca="1"/>
        <v>5696.49</v>
      </c>
      <c r="D141" s="63">
        <f ca="1">IF(B141="","", ROUND(C141 * (VLOOKUP(B141, '💳 Debt Input'!$A$4:$G$9, 3, FALSE) / 12), 2))</f>
        <v>85.45</v>
      </c>
      <c r="E141" s="63" cm="1">
        <f t="array" aca="1" ref="E141" ca="1">IF(B141="","", ROUND(MIN(C141+D141, MAX(VLOOKUP(B141,'💳 Debt Input'!$A$4:$G$9,4,FALSE), $F$3 - IFERROR(SUM(OFFSET(E141, -MOD(ROW()-6, 6), 0, MOD(ROW()-6, 6))), 0) - IFERROR(SUM(SUMIF('💳 Debt Input'!$A$4:$A$9, OFFSET(B141, 1, 0, 5-MOD(ROW()-6, 6)), '💳 Debt Input'!$D$4:$D$9)), 0))), 2))</f>
        <v>270</v>
      </c>
      <c r="F141" s="63">
        <f t="shared" ca="1" si="4"/>
        <v>5511.94</v>
      </c>
      <c r="G141" s="22" t="str">
        <f t="shared" ca="1" si="5"/>
        <v>Active</v>
      </c>
      <c r="H141" s="22"/>
    </row>
    <row r="142" spans="1:8" ht="18" customHeight="1" x14ac:dyDescent="0.35">
      <c r="A142" s="49"/>
      <c r="B142" s="6" t="str">
        <v>Rewards Visa</v>
      </c>
      <c r="C142" s="63">
        <f ca="1"/>
        <v>16000</v>
      </c>
      <c r="D142" s="63">
        <f ca="1">IF(B142="","", ROUND(C142 * (VLOOKUP(B142, '💳 Debt Input'!$A$4:$G$9, 3, FALSE) / 12), 2))</f>
        <v>480</v>
      </c>
      <c r="E142" s="63" cm="1">
        <f t="array" aca="1" ref="E142" ca="1">IF(B142="","", ROUND(MIN(C142+D142, MAX(VLOOKUP(B142,'💳 Debt Input'!$A$4:$G$9,4,FALSE), $F$3 - IFERROR(SUM(OFFSET(E142, -MOD(ROW()-6, 6), 0, MOD(ROW()-6, 6))), 0) - IFERROR(SUM(SUMIF('💳 Debt Input'!$A$4:$A$9, OFFSET(B142, 1, 0, 5-MOD(ROW()-6, 6)), '💳 Debt Input'!$D$4:$D$9)), 0))), 2))</f>
        <v>480</v>
      </c>
      <c r="F142" s="63">
        <f t="shared" ca="1" si="4"/>
        <v>16000</v>
      </c>
      <c r="G142" s="22" t="str">
        <f t="shared" ca="1" si="5"/>
        <v>Active</v>
      </c>
      <c r="H142" s="22"/>
    </row>
    <row r="143" spans="1:8" ht="18" customHeight="1" x14ac:dyDescent="0.35">
      <c r="A143" s="51">
        <v>23</v>
      </c>
      <c r="B143" s="56" t="str" cm="1">
        <f t="array" ref="B143:B148">B137:B142</f>
        <v>Store Card</v>
      </c>
      <c r="C143" s="65" cm="1">
        <f t="array" aca="1" ref="C143:C148" ca="1">F137:F142</f>
        <v>0</v>
      </c>
      <c r="D143" s="65">
        <f ca="1">IF(B143="","", ROUND(C143 * (VLOOKUP(B143, '💳 Debt Input'!$A$4:$G$9, 3, FALSE) / 12), 2))</f>
        <v>0</v>
      </c>
      <c r="E143" s="65" cm="1">
        <f t="array" aca="1" ref="E143" ca="1">IF(B143="","", ROUND(MIN(C143+D143, MAX(VLOOKUP(B143,'💳 Debt Input'!$A$4:$G$9,4,FALSE), $F$3 - IFERROR(SUM(OFFSET(E143, -MOD(ROW()-6, 6), 0, MOD(ROW()-6, 6))), 0) - IFERROR(SUM(SUMIF('💳 Debt Input'!$A$4:$A$9, OFFSET(B143, 1, 0, 5-MOD(ROW()-6, 6)), '💳 Debt Input'!$D$4:$D$9)), 0))), 2))</f>
        <v>0</v>
      </c>
      <c r="F143" s="65">
        <f t="shared" ca="1" si="4"/>
        <v>0</v>
      </c>
      <c r="G143" s="25" t="str">
        <f t="shared" ca="1" si="5"/>
        <v>Paid off</v>
      </c>
      <c r="H143" s="25"/>
    </row>
    <row r="144" spans="1:8" ht="18" customHeight="1" x14ac:dyDescent="0.35">
      <c r="A144" s="52"/>
      <c r="B144" s="26" t="str">
        <v>Medical Bill</v>
      </c>
      <c r="C144" s="66">
        <f ca="1"/>
        <v>0</v>
      </c>
      <c r="D144" s="66">
        <f ca="1">IF(B144="","", ROUND(C144 * (VLOOKUP(B144, '💳 Debt Input'!$A$4:$G$9, 3, FALSE) / 12), 2))</f>
        <v>0</v>
      </c>
      <c r="E144" s="66" cm="1">
        <f t="array" aca="1" ref="E144" ca="1">IF(B144="","", ROUND(MIN(C144+D144, MAX(VLOOKUP(B144,'💳 Debt Input'!$A$4:$G$9,4,FALSE), $F$3 - IFERROR(SUM(OFFSET(E144, -MOD(ROW()-6, 6), 0, MOD(ROW()-6, 6))), 0) - IFERROR(SUM(SUMIF('💳 Debt Input'!$A$4:$A$9, OFFSET(B144, 1, 0, 5-MOD(ROW()-6, 6)), '💳 Debt Input'!$D$4:$D$9)), 0))), 2))</f>
        <v>0</v>
      </c>
      <c r="F144" s="66">
        <f t="shared" ca="1" si="4"/>
        <v>0</v>
      </c>
      <c r="G144" s="28" t="str">
        <f t="shared" ca="1" si="5"/>
        <v>Paid off</v>
      </c>
      <c r="H144" s="28"/>
    </row>
    <row r="145" spans="1:8" ht="18" customHeight="1" x14ac:dyDescent="0.35">
      <c r="A145" s="47"/>
      <c r="B145" s="8" t="str">
        <v>Personal Loan</v>
      </c>
      <c r="C145" s="61">
        <f ca="1"/>
        <v>714.51</v>
      </c>
      <c r="D145" s="61">
        <f ca="1">IF(B145="","", ROUND(C145 * (VLOOKUP(B145, '💳 Debt Input'!$A$4:$G$9, 3, FALSE) / 12), 2))</f>
        <v>3.57</v>
      </c>
      <c r="E145" s="61" cm="1">
        <f t="array" aca="1" ref="E145" ca="1">IF(B145="","", ROUND(MIN(C145+D145, MAX(VLOOKUP(B145,'💳 Debt Input'!$A$4:$G$9,4,FALSE), $F$3 - IFERROR(SUM(OFFSET(E145, -MOD(ROW()-6, 6), 0, MOD(ROW()-6, 6))), 0) - IFERROR(SUM(SUMIF('💳 Debt Input'!$A$4:$A$9, OFFSET(B145, 1, 0, 5-MOD(ROW()-6, 6)), '💳 Debt Input'!$D$4:$D$9)), 0))), 2))</f>
        <v>65</v>
      </c>
      <c r="F145" s="61">
        <f t="shared" ca="1" si="4"/>
        <v>653.08000000000004</v>
      </c>
      <c r="G145" s="19" t="str">
        <f t="shared" ca="1" si="5"/>
        <v>Active</v>
      </c>
      <c r="H145" s="19"/>
    </row>
    <row r="146" spans="1:8" ht="18" customHeight="1" x14ac:dyDescent="0.35">
      <c r="A146" s="47"/>
      <c r="B146" s="8" t="str">
        <v>Auto Loan</v>
      </c>
      <c r="C146" s="61">
        <f ca="1"/>
        <v>1916.84</v>
      </c>
      <c r="D146" s="61">
        <f ca="1">IF(B146="","", ROUND(C146 * (VLOOKUP(B146, '💳 Debt Input'!$A$4:$G$9, 3, FALSE) / 12), 2))</f>
        <v>15.97</v>
      </c>
      <c r="E146" s="61" cm="1">
        <f t="array" aca="1" ref="E146" ca="1">IF(B146="","", ROUND(MIN(C146+D146, MAX(VLOOKUP(B146,'💳 Debt Input'!$A$4:$G$9,4,FALSE), $F$3 - IFERROR(SUM(OFFSET(E146, -MOD(ROW()-6, 6), 0, MOD(ROW()-6, 6))), 0) - IFERROR(SUM(SUMIF('💳 Debt Input'!$A$4:$A$9, OFFSET(B146, 1, 0, 5-MOD(ROW()-6, 6)), '💳 Debt Input'!$D$4:$D$9)), 0))), 2))</f>
        <v>120</v>
      </c>
      <c r="F146" s="61">
        <f t="shared" ca="1" si="4"/>
        <v>1812.81</v>
      </c>
      <c r="G146" s="19" t="str">
        <f t="shared" ca="1" si="5"/>
        <v>Active</v>
      </c>
      <c r="H146" s="19"/>
    </row>
    <row r="147" spans="1:8" ht="18" customHeight="1" x14ac:dyDescent="0.35">
      <c r="A147" s="47"/>
      <c r="B147" s="8" t="str">
        <v>Travel Card</v>
      </c>
      <c r="C147" s="61">
        <f ca="1"/>
        <v>5511.94</v>
      </c>
      <c r="D147" s="61">
        <f ca="1">IF(B147="","", ROUND(C147 * (VLOOKUP(B147, '💳 Debt Input'!$A$4:$G$9, 3, FALSE) / 12), 2))</f>
        <v>82.68</v>
      </c>
      <c r="E147" s="61" cm="1">
        <f t="array" aca="1" ref="E147" ca="1">IF(B147="","", ROUND(MIN(C147+D147, MAX(VLOOKUP(B147,'💳 Debt Input'!$A$4:$G$9,4,FALSE), $F$3 - IFERROR(SUM(OFFSET(E147, -MOD(ROW()-6, 6), 0, MOD(ROW()-6, 6))), 0) - IFERROR(SUM(SUMIF('💳 Debt Input'!$A$4:$A$9, OFFSET(B147, 1, 0, 5-MOD(ROW()-6, 6)), '💳 Debt Input'!$D$4:$D$9)), 0))), 2))</f>
        <v>270</v>
      </c>
      <c r="F147" s="61">
        <f t="shared" ca="1" si="4"/>
        <v>5324.62</v>
      </c>
      <c r="G147" s="19" t="str">
        <f t="shared" ca="1" si="5"/>
        <v>Active</v>
      </c>
      <c r="H147" s="19"/>
    </row>
    <row r="148" spans="1:8" ht="18" customHeight="1" x14ac:dyDescent="0.35">
      <c r="A148" s="47"/>
      <c r="B148" s="8" t="str">
        <v>Rewards Visa</v>
      </c>
      <c r="C148" s="61">
        <f ca="1"/>
        <v>16000</v>
      </c>
      <c r="D148" s="61">
        <f ca="1">IF(B148="","", ROUND(C148 * (VLOOKUP(B148, '💳 Debt Input'!$A$4:$G$9, 3, FALSE) / 12), 2))</f>
        <v>480</v>
      </c>
      <c r="E148" s="61" cm="1">
        <f t="array" aca="1" ref="E148" ca="1">IF(B148="","", ROUND(MIN(C148+D148, MAX(VLOOKUP(B148,'💳 Debt Input'!$A$4:$G$9,4,FALSE), $F$3 - IFERROR(SUM(OFFSET(E148, -MOD(ROW()-6, 6), 0, MOD(ROW()-6, 6))), 0) - IFERROR(SUM(SUMIF('💳 Debt Input'!$A$4:$A$9, OFFSET(B148, 1, 0, 5-MOD(ROW()-6, 6)), '💳 Debt Input'!$D$4:$D$9)), 0))), 2))</f>
        <v>480</v>
      </c>
      <c r="F148" s="61">
        <f t="shared" ca="1" si="4"/>
        <v>16000</v>
      </c>
      <c r="G148" s="19" t="str">
        <f t="shared" ca="1" si="5"/>
        <v>Active</v>
      </c>
      <c r="H148" s="19"/>
    </row>
    <row r="149" spans="1:8" ht="18" customHeight="1" x14ac:dyDescent="0.35">
      <c r="A149" s="51">
        <v>24</v>
      </c>
      <c r="B149" s="56" t="str" cm="1">
        <f t="array" ref="B149:B154">B143:B148</f>
        <v>Store Card</v>
      </c>
      <c r="C149" s="65" cm="1">
        <f t="array" aca="1" ref="C149:C154" ca="1">F143:F148</f>
        <v>0</v>
      </c>
      <c r="D149" s="65">
        <f ca="1">IF(B149="","", ROUND(C149 * (VLOOKUP(B149, '💳 Debt Input'!$A$4:$G$9, 3, FALSE) / 12), 2))</f>
        <v>0</v>
      </c>
      <c r="E149" s="65" cm="1">
        <f t="array" aca="1" ref="E149" ca="1">IF(B149="","", ROUND(MIN(C149+D149, MAX(VLOOKUP(B149,'💳 Debt Input'!$A$4:$G$9,4,FALSE), $F$3 - IFERROR(SUM(OFFSET(E149, -MOD(ROW()-6, 6), 0, MOD(ROW()-6, 6))), 0) - IFERROR(SUM(SUMIF('💳 Debt Input'!$A$4:$A$9, OFFSET(B149, 1, 0, 5-MOD(ROW()-6, 6)), '💳 Debt Input'!$D$4:$D$9)), 0))), 2))</f>
        <v>0</v>
      </c>
      <c r="F149" s="65">
        <f t="shared" ca="1" si="4"/>
        <v>0</v>
      </c>
      <c r="G149" s="25" t="str">
        <f t="shared" ca="1" si="5"/>
        <v>Paid off</v>
      </c>
      <c r="H149" s="25"/>
    </row>
    <row r="150" spans="1:8" ht="18" customHeight="1" x14ac:dyDescent="0.35">
      <c r="A150" s="52"/>
      <c r="B150" s="26" t="str">
        <v>Medical Bill</v>
      </c>
      <c r="C150" s="66">
        <f ca="1"/>
        <v>0</v>
      </c>
      <c r="D150" s="66">
        <f ca="1">IF(B150="","", ROUND(C150 * (VLOOKUP(B150, '💳 Debt Input'!$A$4:$G$9, 3, FALSE) / 12), 2))</f>
        <v>0</v>
      </c>
      <c r="E150" s="66" cm="1">
        <f t="array" aca="1" ref="E150" ca="1">IF(B150="","", ROUND(MIN(C150+D150, MAX(VLOOKUP(B150,'💳 Debt Input'!$A$4:$G$9,4,FALSE), $F$3 - IFERROR(SUM(OFFSET(E150, -MOD(ROW()-6, 6), 0, MOD(ROW()-6, 6))), 0) - IFERROR(SUM(SUMIF('💳 Debt Input'!$A$4:$A$9, OFFSET(B150, 1, 0, 5-MOD(ROW()-6, 6)), '💳 Debt Input'!$D$4:$D$9)), 0))), 2))</f>
        <v>0</v>
      </c>
      <c r="F150" s="66">
        <f t="shared" ca="1" si="4"/>
        <v>0</v>
      </c>
      <c r="G150" s="28" t="str">
        <f t="shared" ca="1" si="5"/>
        <v>Paid off</v>
      </c>
      <c r="H150" s="28"/>
    </row>
    <row r="151" spans="1:8" ht="18" customHeight="1" x14ac:dyDescent="0.35">
      <c r="A151" s="49"/>
      <c r="B151" s="6" t="str">
        <v>Personal Loan</v>
      </c>
      <c r="C151" s="63">
        <f ca="1"/>
        <v>653.08000000000004</v>
      </c>
      <c r="D151" s="63">
        <f ca="1">IF(B151="","", ROUND(C151 * (VLOOKUP(B151, '💳 Debt Input'!$A$4:$G$9, 3, FALSE) / 12), 2))</f>
        <v>3.27</v>
      </c>
      <c r="E151" s="63" cm="1">
        <f t="array" aca="1" ref="E151" ca="1">IF(B151="","", ROUND(MIN(C151+D151, MAX(VLOOKUP(B151,'💳 Debt Input'!$A$4:$G$9,4,FALSE), $F$3 - IFERROR(SUM(OFFSET(E151, -MOD(ROW()-6, 6), 0, MOD(ROW()-6, 6))), 0) - IFERROR(SUM(SUMIF('💳 Debt Input'!$A$4:$A$9, OFFSET(B151, 1, 0, 5-MOD(ROW()-6, 6)), '💳 Debt Input'!$D$4:$D$9)), 0))), 2))</f>
        <v>65</v>
      </c>
      <c r="F151" s="63">
        <f t="shared" ref="F151:F214" ca="1" si="6">ROUND(MAX(0,C151+D151-E151),2)</f>
        <v>591.35</v>
      </c>
      <c r="G151" s="22" t="str">
        <f t="shared" ref="G151:G214" ca="1" si="7">IF(F151=0,"Paid off","Active")</f>
        <v>Active</v>
      </c>
      <c r="H151" s="22"/>
    </row>
    <row r="152" spans="1:8" ht="18" customHeight="1" x14ac:dyDescent="0.35">
      <c r="A152" s="49"/>
      <c r="B152" s="6" t="str">
        <v>Auto Loan</v>
      </c>
      <c r="C152" s="63">
        <f ca="1"/>
        <v>1812.81</v>
      </c>
      <c r="D152" s="63">
        <f ca="1">IF(B152="","", ROUND(C152 * (VLOOKUP(B152, '💳 Debt Input'!$A$4:$G$9, 3, FALSE) / 12), 2))</f>
        <v>15.11</v>
      </c>
      <c r="E152" s="63" cm="1">
        <f t="array" aca="1" ref="E152" ca="1">IF(B152="","", ROUND(MIN(C152+D152, MAX(VLOOKUP(B152,'💳 Debt Input'!$A$4:$G$9,4,FALSE), $F$3 - IFERROR(SUM(OFFSET(E152, -MOD(ROW()-6, 6), 0, MOD(ROW()-6, 6))), 0) - IFERROR(SUM(SUMIF('💳 Debt Input'!$A$4:$A$9, OFFSET(B152, 1, 0, 5-MOD(ROW()-6, 6)), '💳 Debt Input'!$D$4:$D$9)), 0))), 2))</f>
        <v>120</v>
      </c>
      <c r="F152" s="63">
        <f t="shared" ca="1" si="6"/>
        <v>1707.92</v>
      </c>
      <c r="G152" s="22" t="str">
        <f t="shared" ca="1" si="7"/>
        <v>Active</v>
      </c>
      <c r="H152" s="22"/>
    </row>
    <row r="153" spans="1:8" ht="18" customHeight="1" x14ac:dyDescent="0.35">
      <c r="A153" s="49"/>
      <c r="B153" s="6" t="str">
        <v>Travel Card</v>
      </c>
      <c r="C153" s="63">
        <f ca="1"/>
        <v>5324.62</v>
      </c>
      <c r="D153" s="63">
        <f ca="1">IF(B153="","", ROUND(C153 * (VLOOKUP(B153, '💳 Debt Input'!$A$4:$G$9, 3, FALSE) / 12), 2))</f>
        <v>79.87</v>
      </c>
      <c r="E153" s="63" cm="1">
        <f t="array" aca="1" ref="E153" ca="1">IF(B153="","", ROUND(MIN(C153+D153, MAX(VLOOKUP(B153,'💳 Debt Input'!$A$4:$G$9,4,FALSE), $F$3 - IFERROR(SUM(OFFSET(E153, -MOD(ROW()-6, 6), 0, MOD(ROW()-6, 6))), 0) - IFERROR(SUM(SUMIF('💳 Debt Input'!$A$4:$A$9, OFFSET(B153, 1, 0, 5-MOD(ROW()-6, 6)), '💳 Debt Input'!$D$4:$D$9)), 0))), 2))</f>
        <v>270</v>
      </c>
      <c r="F153" s="63">
        <f t="shared" ca="1" si="6"/>
        <v>5134.49</v>
      </c>
      <c r="G153" s="22" t="str">
        <f t="shared" ca="1" si="7"/>
        <v>Active</v>
      </c>
      <c r="H153" s="22"/>
    </row>
    <row r="154" spans="1:8" ht="18" customHeight="1" x14ac:dyDescent="0.35">
      <c r="A154" s="49"/>
      <c r="B154" s="6" t="str">
        <v>Rewards Visa</v>
      </c>
      <c r="C154" s="63">
        <f ca="1"/>
        <v>16000</v>
      </c>
      <c r="D154" s="63">
        <f ca="1">IF(B154="","", ROUND(C154 * (VLOOKUP(B154, '💳 Debt Input'!$A$4:$G$9, 3, FALSE) / 12), 2))</f>
        <v>480</v>
      </c>
      <c r="E154" s="63" cm="1">
        <f t="array" aca="1" ref="E154" ca="1">IF(B154="","", ROUND(MIN(C154+D154, MAX(VLOOKUP(B154,'💳 Debt Input'!$A$4:$G$9,4,FALSE), $F$3 - IFERROR(SUM(OFFSET(E154, -MOD(ROW()-6, 6), 0, MOD(ROW()-6, 6))), 0) - IFERROR(SUM(SUMIF('💳 Debt Input'!$A$4:$A$9, OFFSET(B154, 1, 0, 5-MOD(ROW()-6, 6)), '💳 Debt Input'!$D$4:$D$9)), 0))), 2))</f>
        <v>480</v>
      </c>
      <c r="F154" s="63">
        <f t="shared" ca="1" si="6"/>
        <v>16000</v>
      </c>
      <c r="G154" s="22" t="str">
        <f t="shared" ca="1" si="7"/>
        <v>Active</v>
      </c>
      <c r="H154" s="22"/>
    </row>
    <row r="155" spans="1:8" ht="18" customHeight="1" x14ac:dyDescent="0.35">
      <c r="A155" s="51">
        <v>25</v>
      </c>
      <c r="B155" s="56" t="str" cm="1">
        <f t="array" ref="B155:B160">B149:B154</f>
        <v>Store Card</v>
      </c>
      <c r="C155" s="65" cm="1">
        <f t="array" aca="1" ref="C155:C160" ca="1">F149:F154</f>
        <v>0</v>
      </c>
      <c r="D155" s="65">
        <f ca="1">IF(B155="","", ROUND(C155 * (VLOOKUP(B155, '💳 Debt Input'!$A$4:$G$9, 3, FALSE) / 12), 2))</f>
        <v>0</v>
      </c>
      <c r="E155" s="65" cm="1">
        <f t="array" aca="1" ref="E155" ca="1">IF(B155="","", ROUND(MIN(C155+D155, MAX(VLOOKUP(B155,'💳 Debt Input'!$A$4:$G$9,4,FALSE), $F$3 - IFERROR(SUM(OFFSET(E155, -MOD(ROW()-6, 6), 0, MOD(ROW()-6, 6))), 0) - IFERROR(SUM(SUMIF('💳 Debt Input'!$A$4:$A$9, OFFSET(B155, 1, 0, 5-MOD(ROW()-6, 6)), '💳 Debt Input'!$D$4:$D$9)), 0))), 2))</f>
        <v>0</v>
      </c>
      <c r="F155" s="65">
        <f t="shared" ca="1" si="6"/>
        <v>0</v>
      </c>
      <c r="G155" s="25" t="str">
        <f t="shared" ca="1" si="7"/>
        <v>Paid off</v>
      </c>
      <c r="H155" s="25"/>
    </row>
    <row r="156" spans="1:8" ht="18" customHeight="1" x14ac:dyDescent="0.35">
      <c r="A156" s="52"/>
      <c r="B156" s="26" t="str">
        <v>Medical Bill</v>
      </c>
      <c r="C156" s="66">
        <f ca="1"/>
        <v>0</v>
      </c>
      <c r="D156" s="66">
        <f ca="1">IF(B156="","", ROUND(C156 * (VLOOKUP(B156, '💳 Debt Input'!$A$4:$G$9, 3, FALSE) / 12), 2))</f>
        <v>0</v>
      </c>
      <c r="E156" s="66" cm="1">
        <f t="array" aca="1" ref="E156" ca="1">IF(B156="","", ROUND(MIN(C156+D156, MAX(VLOOKUP(B156,'💳 Debt Input'!$A$4:$G$9,4,FALSE), $F$3 - IFERROR(SUM(OFFSET(E156, -MOD(ROW()-6, 6), 0, MOD(ROW()-6, 6))), 0) - IFERROR(SUM(SUMIF('💳 Debt Input'!$A$4:$A$9, OFFSET(B156, 1, 0, 5-MOD(ROW()-6, 6)), '💳 Debt Input'!$D$4:$D$9)), 0))), 2))</f>
        <v>0</v>
      </c>
      <c r="F156" s="66">
        <f t="shared" ca="1" si="6"/>
        <v>0</v>
      </c>
      <c r="G156" s="28" t="str">
        <f t="shared" ca="1" si="7"/>
        <v>Paid off</v>
      </c>
      <c r="H156" s="28"/>
    </row>
    <row r="157" spans="1:8" ht="18" customHeight="1" x14ac:dyDescent="0.35">
      <c r="A157" s="47"/>
      <c r="B157" s="8" t="str">
        <v>Personal Loan</v>
      </c>
      <c r="C157" s="61">
        <f ca="1"/>
        <v>591.35</v>
      </c>
      <c r="D157" s="61">
        <f ca="1">IF(B157="","", ROUND(C157 * (VLOOKUP(B157, '💳 Debt Input'!$A$4:$G$9, 3, FALSE) / 12), 2))</f>
        <v>2.96</v>
      </c>
      <c r="E157" s="61" cm="1">
        <f t="array" aca="1" ref="E157" ca="1">IF(B157="","", ROUND(MIN(C157+D157, MAX(VLOOKUP(B157,'💳 Debt Input'!$A$4:$G$9,4,FALSE), $F$3 - IFERROR(SUM(OFFSET(E157, -MOD(ROW()-6, 6), 0, MOD(ROW()-6, 6))), 0) - IFERROR(SUM(SUMIF('💳 Debt Input'!$A$4:$A$9, OFFSET(B157, 1, 0, 5-MOD(ROW()-6, 6)), '💳 Debt Input'!$D$4:$D$9)), 0))), 2))</f>
        <v>65</v>
      </c>
      <c r="F157" s="61">
        <f t="shared" ca="1" si="6"/>
        <v>529.30999999999995</v>
      </c>
      <c r="G157" s="19" t="str">
        <f t="shared" ca="1" si="7"/>
        <v>Active</v>
      </c>
      <c r="H157" s="19"/>
    </row>
    <row r="158" spans="1:8" ht="18" customHeight="1" x14ac:dyDescent="0.35">
      <c r="A158" s="47"/>
      <c r="B158" s="8" t="str">
        <v>Auto Loan</v>
      </c>
      <c r="C158" s="61">
        <f ca="1"/>
        <v>1707.92</v>
      </c>
      <c r="D158" s="61">
        <f ca="1">IF(B158="","", ROUND(C158 * (VLOOKUP(B158, '💳 Debt Input'!$A$4:$G$9, 3, FALSE) / 12), 2))</f>
        <v>14.23</v>
      </c>
      <c r="E158" s="61" cm="1">
        <f t="array" aca="1" ref="E158" ca="1">IF(B158="","", ROUND(MIN(C158+D158, MAX(VLOOKUP(B158,'💳 Debt Input'!$A$4:$G$9,4,FALSE), $F$3 - IFERROR(SUM(OFFSET(E158, -MOD(ROW()-6, 6), 0, MOD(ROW()-6, 6))), 0) - IFERROR(SUM(SUMIF('💳 Debt Input'!$A$4:$A$9, OFFSET(B158, 1, 0, 5-MOD(ROW()-6, 6)), '💳 Debt Input'!$D$4:$D$9)), 0))), 2))</f>
        <v>120</v>
      </c>
      <c r="F158" s="61">
        <f t="shared" ca="1" si="6"/>
        <v>1602.15</v>
      </c>
      <c r="G158" s="19" t="str">
        <f t="shared" ca="1" si="7"/>
        <v>Active</v>
      </c>
      <c r="H158" s="19"/>
    </row>
    <row r="159" spans="1:8" ht="18" customHeight="1" x14ac:dyDescent="0.35">
      <c r="A159" s="47"/>
      <c r="B159" s="8" t="str">
        <v>Travel Card</v>
      </c>
      <c r="C159" s="61">
        <f ca="1"/>
        <v>5134.49</v>
      </c>
      <c r="D159" s="61">
        <f ca="1">IF(B159="","", ROUND(C159 * (VLOOKUP(B159, '💳 Debt Input'!$A$4:$G$9, 3, FALSE) / 12), 2))</f>
        <v>77.02</v>
      </c>
      <c r="E159" s="61" cm="1">
        <f t="array" aca="1" ref="E159" ca="1">IF(B159="","", ROUND(MIN(C159+D159, MAX(VLOOKUP(B159,'💳 Debt Input'!$A$4:$G$9,4,FALSE), $F$3 - IFERROR(SUM(OFFSET(E159, -MOD(ROW()-6, 6), 0, MOD(ROW()-6, 6))), 0) - IFERROR(SUM(SUMIF('💳 Debt Input'!$A$4:$A$9, OFFSET(B159, 1, 0, 5-MOD(ROW()-6, 6)), '💳 Debt Input'!$D$4:$D$9)), 0))), 2))</f>
        <v>270</v>
      </c>
      <c r="F159" s="61">
        <f t="shared" ca="1" si="6"/>
        <v>4941.51</v>
      </c>
      <c r="G159" s="19" t="str">
        <f t="shared" ca="1" si="7"/>
        <v>Active</v>
      </c>
      <c r="H159" s="19"/>
    </row>
    <row r="160" spans="1:8" ht="18" customHeight="1" x14ac:dyDescent="0.35">
      <c r="A160" s="47"/>
      <c r="B160" s="8" t="str">
        <v>Rewards Visa</v>
      </c>
      <c r="C160" s="61">
        <f ca="1"/>
        <v>16000</v>
      </c>
      <c r="D160" s="61">
        <f ca="1">IF(B160="","", ROUND(C160 * (VLOOKUP(B160, '💳 Debt Input'!$A$4:$G$9, 3, FALSE) / 12), 2))</f>
        <v>480</v>
      </c>
      <c r="E160" s="61" cm="1">
        <f t="array" aca="1" ref="E160" ca="1">IF(B160="","", ROUND(MIN(C160+D160, MAX(VLOOKUP(B160,'💳 Debt Input'!$A$4:$G$9,4,FALSE), $F$3 - IFERROR(SUM(OFFSET(E160, -MOD(ROW()-6, 6), 0, MOD(ROW()-6, 6))), 0) - IFERROR(SUM(SUMIF('💳 Debt Input'!$A$4:$A$9, OFFSET(B160, 1, 0, 5-MOD(ROW()-6, 6)), '💳 Debt Input'!$D$4:$D$9)), 0))), 2))</f>
        <v>480</v>
      </c>
      <c r="F160" s="61">
        <f t="shared" ca="1" si="6"/>
        <v>16000</v>
      </c>
      <c r="G160" s="19" t="str">
        <f t="shared" ca="1" si="7"/>
        <v>Active</v>
      </c>
      <c r="H160" s="19"/>
    </row>
    <row r="161" spans="1:8" ht="18" customHeight="1" x14ac:dyDescent="0.35">
      <c r="A161" s="51">
        <v>26</v>
      </c>
      <c r="B161" s="56" t="str" cm="1">
        <f t="array" ref="B161:B166">B155:B160</f>
        <v>Store Card</v>
      </c>
      <c r="C161" s="65" cm="1">
        <f t="array" aca="1" ref="C161:C166" ca="1">F155:F160</f>
        <v>0</v>
      </c>
      <c r="D161" s="65">
        <f ca="1">IF(B161="","", ROUND(C161 * (VLOOKUP(B161, '💳 Debt Input'!$A$4:$G$9, 3, FALSE) / 12), 2))</f>
        <v>0</v>
      </c>
      <c r="E161" s="65" cm="1">
        <f t="array" aca="1" ref="E161" ca="1">IF(B161="","", ROUND(MIN(C161+D161, MAX(VLOOKUP(B161,'💳 Debt Input'!$A$4:$G$9,4,FALSE), $F$3 - IFERROR(SUM(OFFSET(E161, -MOD(ROW()-6, 6), 0, MOD(ROW()-6, 6))), 0) - IFERROR(SUM(SUMIF('💳 Debt Input'!$A$4:$A$9, OFFSET(B161, 1, 0, 5-MOD(ROW()-6, 6)), '💳 Debt Input'!$D$4:$D$9)), 0))), 2))</f>
        <v>0</v>
      </c>
      <c r="F161" s="65">
        <f t="shared" ca="1" si="6"/>
        <v>0</v>
      </c>
      <c r="G161" s="25" t="str">
        <f t="shared" ca="1" si="7"/>
        <v>Paid off</v>
      </c>
      <c r="H161" s="25"/>
    </row>
    <row r="162" spans="1:8" ht="18" customHeight="1" x14ac:dyDescent="0.35">
      <c r="A162" s="52"/>
      <c r="B162" s="26" t="str">
        <v>Medical Bill</v>
      </c>
      <c r="C162" s="66">
        <f ca="1"/>
        <v>0</v>
      </c>
      <c r="D162" s="66">
        <f ca="1">IF(B162="","", ROUND(C162 * (VLOOKUP(B162, '💳 Debt Input'!$A$4:$G$9, 3, FALSE) / 12), 2))</f>
        <v>0</v>
      </c>
      <c r="E162" s="66" cm="1">
        <f t="array" aca="1" ref="E162" ca="1">IF(B162="","", ROUND(MIN(C162+D162, MAX(VLOOKUP(B162,'💳 Debt Input'!$A$4:$G$9,4,FALSE), $F$3 - IFERROR(SUM(OFFSET(E162, -MOD(ROW()-6, 6), 0, MOD(ROW()-6, 6))), 0) - IFERROR(SUM(SUMIF('💳 Debt Input'!$A$4:$A$9, OFFSET(B162, 1, 0, 5-MOD(ROW()-6, 6)), '💳 Debt Input'!$D$4:$D$9)), 0))), 2))</f>
        <v>0</v>
      </c>
      <c r="F162" s="66">
        <f t="shared" ca="1" si="6"/>
        <v>0</v>
      </c>
      <c r="G162" s="28" t="str">
        <f t="shared" ca="1" si="7"/>
        <v>Paid off</v>
      </c>
      <c r="H162" s="28"/>
    </row>
    <row r="163" spans="1:8" ht="18" customHeight="1" x14ac:dyDescent="0.35">
      <c r="A163" s="49"/>
      <c r="B163" s="6" t="str">
        <v>Personal Loan</v>
      </c>
      <c r="C163" s="63">
        <f ca="1"/>
        <v>529.30999999999995</v>
      </c>
      <c r="D163" s="63">
        <f ca="1">IF(B163="","", ROUND(C163 * (VLOOKUP(B163, '💳 Debt Input'!$A$4:$G$9, 3, FALSE) / 12), 2))</f>
        <v>2.65</v>
      </c>
      <c r="E163" s="63" cm="1">
        <f t="array" aca="1" ref="E163" ca="1">IF(B163="","", ROUND(MIN(C163+D163, MAX(VLOOKUP(B163,'💳 Debt Input'!$A$4:$G$9,4,FALSE), $F$3 - IFERROR(SUM(OFFSET(E163, -MOD(ROW()-6, 6), 0, MOD(ROW()-6, 6))), 0) - IFERROR(SUM(SUMIF('💳 Debt Input'!$A$4:$A$9, OFFSET(B163, 1, 0, 5-MOD(ROW()-6, 6)), '💳 Debt Input'!$D$4:$D$9)), 0))), 2))</f>
        <v>65</v>
      </c>
      <c r="F163" s="63">
        <f t="shared" ca="1" si="6"/>
        <v>466.96</v>
      </c>
      <c r="G163" s="22" t="str">
        <f t="shared" ca="1" si="7"/>
        <v>Active</v>
      </c>
      <c r="H163" s="22"/>
    </row>
    <row r="164" spans="1:8" ht="18" customHeight="1" x14ac:dyDescent="0.35">
      <c r="A164" s="49"/>
      <c r="B164" s="6" t="str">
        <v>Auto Loan</v>
      </c>
      <c r="C164" s="63">
        <f ca="1"/>
        <v>1602.15</v>
      </c>
      <c r="D164" s="63">
        <f ca="1">IF(B164="","", ROUND(C164 * (VLOOKUP(B164, '💳 Debt Input'!$A$4:$G$9, 3, FALSE) / 12), 2))</f>
        <v>13.35</v>
      </c>
      <c r="E164" s="63" cm="1">
        <f t="array" aca="1" ref="E164" ca="1">IF(B164="","", ROUND(MIN(C164+D164, MAX(VLOOKUP(B164,'💳 Debt Input'!$A$4:$G$9,4,FALSE), $F$3 - IFERROR(SUM(OFFSET(E164, -MOD(ROW()-6, 6), 0, MOD(ROW()-6, 6))), 0) - IFERROR(SUM(SUMIF('💳 Debt Input'!$A$4:$A$9, OFFSET(B164, 1, 0, 5-MOD(ROW()-6, 6)), '💳 Debt Input'!$D$4:$D$9)), 0))), 2))</f>
        <v>120</v>
      </c>
      <c r="F164" s="63">
        <f t="shared" ca="1" si="6"/>
        <v>1495.5</v>
      </c>
      <c r="G164" s="22" t="str">
        <f t="shared" ca="1" si="7"/>
        <v>Active</v>
      </c>
      <c r="H164" s="22"/>
    </row>
    <row r="165" spans="1:8" ht="18" customHeight="1" x14ac:dyDescent="0.35">
      <c r="A165" s="49"/>
      <c r="B165" s="6" t="str">
        <v>Travel Card</v>
      </c>
      <c r="C165" s="63">
        <f ca="1"/>
        <v>4941.51</v>
      </c>
      <c r="D165" s="63">
        <f ca="1">IF(B165="","", ROUND(C165 * (VLOOKUP(B165, '💳 Debt Input'!$A$4:$G$9, 3, FALSE) / 12), 2))</f>
        <v>74.12</v>
      </c>
      <c r="E165" s="63" cm="1">
        <f t="array" aca="1" ref="E165" ca="1">IF(B165="","", ROUND(MIN(C165+D165, MAX(VLOOKUP(B165,'💳 Debt Input'!$A$4:$G$9,4,FALSE), $F$3 - IFERROR(SUM(OFFSET(E165, -MOD(ROW()-6, 6), 0, MOD(ROW()-6, 6))), 0) - IFERROR(SUM(SUMIF('💳 Debt Input'!$A$4:$A$9, OFFSET(B165, 1, 0, 5-MOD(ROW()-6, 6)), '💳 Debt Input'!$D$4:$D$9)), 0))), 2))</f>
        <v>270</v>
      </c>
      <c r="F165" s="63">
        <f t="shared" ca="1" si="6"/>
        <v>4745.63</v>
      </c>
      <c r="G165" s="22" t="str">
        <f t="shared" ca="1" si="7"/>
        <v>Active</v>
      </c>
      <c r="H165" s="22"/>
    </row>
    <row r="166" spans="1:8" ht="18" customHeight="1" x14ac:dyDescent="0.35">
      <c r="A166" s="49"/>
      <c r="B166" s="6" t="str">
        <v>Rewards Visa</v>
      </c>
      <c r="C166" s="63">
        <f ca="1"/>
        <v>16000</v>
      </c>
      <c r="D166" s="63">
        <f ca="1">IF(B166="","", ROUND(C166 * (VLOOKUP(B166, '💳 Debt Input'!$A$4:$G$9, 3, FALSE) / 12), 2))</f>
        <v>480</v>
      </c>
      <c r="E166" s="63" cm="1">
        <f t="array" aca="1" ref="E166" ca="1">IF(B166="","", ROUND(MIN(C166+D166, MAX(VLOOKUP(B166,'💳 Debt Input'!$A$4:$G$9,4,FALSE), $F$3 - IFERROR(SUM(OFFSET(E166, -MOD(ROW()-6, 6), 0, MOD(ROW()-6, 6))), 0) - IFERROR(SUM(SUMIF('💳 Debt Input'!$A$4:$A$9, OFFSET(B166, 1, 0, 5-MOD(ROW()-6, 6)), '💳 Debt Input'!$D$4:$D$9)), 0))), 2))</f>
        <v>480</v>
      </c>
      <c r="F166" s="63">
        <f t="shared" ca="1" si="6"/>
        <v>16000</v>
      </c>
      <c r="G166" s="22" t="str">
        <f t="shared" ca="1" si="7"/>
        <v>Active</v>
      </c>
      <c r="H166" s="22"/>
    </row>
    <row r="167" spans="1:8" ht="18" customHeight="1" x14ac:dyDescent="0.35">
      <c r="A167" s="51">
        <v>27</v>
      </c>
      <c r="B167" s="56" t="str" cm="1">
        <f t="array" ref="B167:B172">B161:B166</f>
        <v>Store Card</v>
      </c>
      <c r="C167" s="65" cm="1">
        <f t="array" aca="1" ref="C167:C172" ca="1">F161:F166</f>
        <v>0</v>
      </c>
      <c r="D167" s="65">
        <f ca="1">IF(B167="","", ROUND(C167 * (VLOOKUP(B167, '💳 Debt Input'!$A$4:$G$9, 3, FALSE) / 12), 2))</f>
        <v>0</v>
      </c>
      <c r="E167" s="65" cm="1">
        <f t="array" aca="1" ref="E167" ca="1">IF(B167="","", ROUND(MIN(C167+D167, MAX(VLOOKUP(B167,'💳 Debt Input'!$A$4:$G$9,4,FALSE), $F$3 - IFERROR(SUM(OFFSET(E167, -MOD(ROW()-6, 6), 0, MOD(ROW()-6, 6))), 0) - IFERROR(SUM(SUMIF('💳 Debt Input'!$A$4:$A$9, OFFSET(B167, 1, 0, 5-MOD(ROW()-6, 6)), '💳 Debt Input'!$D$4:$D$9)), 0))), 2))</f>
        <v>0</v>
      </c>
      <c r="F167" s="65">
        <f t="shared" ca="1" si="6"/>
        <v>0</v>
      </c>
      <c r="G167" s="25" t="str">
        <f t="shared" ca="1" si="7"/>
        <v>Paid off</v>
      </c>
      <c r="H167" s="25"/>
    </row>
    <row r="168" spans="1:8" ht="18" customHeight="1" x14ac:dyDescent="0.35">
      <c r="A168" s="52"/>
      <c r="B168" s="26" t="str">
        <v>Medical Bill</v>
      </c>
      <c r="C168" s="66">
        <f ca="1"/>
        <v>0</v>
      </c>
      <c r="D168" s="66">
        <f ca="1">IF(B168="","", ROUND(C168 * (VLOOKUP(B168, '💳 Debt Input'!$A$4:$G$9, 3, FALSE) / 12), 2))</f>
        <v>0</v>
      </c>
      <c r="E168" s="66" cm="1">
        <f t="array" aca="1" ref="E168" ca="1">IF(B168="","", ROUND(MIN(C168+D168, MAX(VLOOKUP(B168,'💳 Debt Input'!$A$4:$G$9,4,FALSE), $F$3 - IFERROR(SUM(OFFSET(E168, -MOD(ROW()-6, 6), 0, MOD(ROW()-6, 6))), 0) - IFERROR(SUM(SUMIF('💳 Debt Input'!$A$4:$A$9, OFFSET(B168, 1, 0, 5-MOD(ROW()-6, 6)), '💳 Debt Input'!$D$4:$D$9)), 0))), 2))</f>
        <v>0</v>
      </c>
      <c r="F168" s="66">
        <f t="shared" ca="1" si="6"/>
        <v>0</v>
      </c>
      <c r="G168" s="28" t="str">
        <f t="shared" ca="1" si="7"/>
        <v>Paid off</v>
      </c>
      <c r="H168" s="28"/>
    </row>
    <row r="169" spans="1:8" ht="18" customHeight="1" x14ac:dyDescent="0.35">
      <c r="A169" s="52"/>
      <c r="B169" s="26" t="str">
        <v>Personal Loan</v>
      </c>
      <c r="C169" s="66">
        <f ca="1"/>
        <v>466.96</v>
      </c>
      <c r="D169" s="66">
        <f ca="1">IF(B169="","", ROUND(C169 * (VLOOKUP(B169, '💳 Debt Input'!$A$4:$G$9, 3, FALSE) / 12), 2))</f>
        <v>2.33</v>
      </c>
      <c r="E169" s="66" cm="1">
        <f t="array" aca="1" ref="E169" ca="1">IF(B169="","", ROUND(MIN(C169+D169, MAX(VLOOKUP(B169,'💳 Debt Input'!$A$4:$G$9,4,FALSE), $F$3 - IFERROR(SUM(OFFSET(E169, -MOD(ROW()-6, 6), 0, MOD(ROW()-6, 6))), 0) - IFERROR(SUM(SUMIF('💳 Debt Input'!$A$4:$A$9, OFFSET(B169, 1, 0, 5-MOD(ROW()-6, 6)), '💳 Debt Input'!$D$4:$D$9)), 0))), 2))</f>
        <v>65</v>
      </c>
      <c r="F169" s="66">
        <f t="shared" ca="1" si="6"/>
        <v>404.29</v>
      </c>
      <c r="G169" s="28" t="str">
        <f t="shared" ca="1" si="7"/>
        <v>Active</v>
      </c>
      <c r="H169" s="28"/>
    </row>
    <row r="170" spans="1:8" ht="18" customHeight="1" x14ac:dyDescent="0.35">
      <c r="A170" s="47"/>
      <c r="B170" s="8" t="str">
        <v>Auto Loan</v>
      </c>
      <c r="C170" s="61">
        <f ca="1"/>
        <v>1495.5</v>
      </c>
      <c r="D170" s="61">
        <f ca="1">IF(B170="","", ROUND(C170 * (VLOOKUP(B170, '💳 Debt Input'!$A$4:$G$9, 3, FALSE) / 12), 2))</f>
        <v>12.46</v>
      </c>
      <c r="E170" s="61" cm="1">
        <f t="array" aca="1" ref="E170" ca="1">IF(B170="","", ROUND(MIN(C170+D170, MAX(VLOOKUP(B170,'💳 Debt Input'!$A$4:$G$9,4,FALSE), $F$3 - IFERROR(SUM(OFFSET(E170, -MOD(ROW()-6, 6), 0, MOD(ROW()-6, 6))), 0) - IFERROR(SUM(SUMIF('💳 Debt Input'!$A$4:$A$9, OFFSET(B170, 1, 0, 5-MOD(ROW()-6, 6)), '💳 Debt Input'!$D$4:$D$9)), 0))), 2))</f>
        <v>120</v>
      </c>
      <c r="F170" s="61">
        <f t="shared" ca="1" si="6"/>
        <v>1387.96</v>
      </c>
      <c r="G170" s="19" t="str">
        <f t="shared" ca="1" si="7"/>
        <v>Active</v>
      </c>
      <c r="H170" s="19"/>
    </row>
    <row r="171" spans="1:8" ht="18" customHeight="1" x14ac:dyDescent="0.35">
      <c r="A171" s="47"/>
      <c r="B171" s="8" t="str">
        <v>Travel Card</v>
      </c>
      <c r="C171" s="61">
        <f ca="1"/>
        <v>4745.63</v>
      </c>
      <c r="D171" s="61">
        <f ca="1">IF(B171="","", ROUND(C171 * (VLOOKUP(B171, '💳 Debt Input'!$A$4:$G$9, 3, FALSE) / 12), 2))</f>
        <v>71.180000000000007</v>
      </c>
      <c r="E171" s="61" cm="1">
        <f t="array" aca="1" ref="E171" ca="1">IF(B171="","", ROUND(MIN(C171+D171, MAX(VLOOKUP(B171,'💳 Debt Input'!$A$4:$G$9,4,FALSE), $F$3 - IFERROR(SUM(OFFSET(E171, -MOD(ROW()-6, 6), 0, MOD(ROW()-6, 6))), 0) - IFERROR(SUM(SUMIF('💳 Debt Input'!$A$4:$A$9, OFFSET(B171, 1, 0, 5-MOD(ROW()-6, 6)), '💳 Debt Input'!$D$4:$D$9)), 0))), 2))</f>
        <v>270</v>
      </c>
      <c r="F171" s="61">
        <f t="shared" ca="1" si="6"/>
        <v>4546.8100000000004</v>
      </c>
      <c r="G171" s="19" t="str">
        <f t="shared" ca="1" si="7"/>
        <v>Active</v>
      </c>
      <c r="H171" s="19"/>
    </row>
    <row r="172" spans="1:8" ht="18" customHeight="1" x14ac:dyDescent="0.35">
      <c r="A172" s="47"/>
      <c r="B172" s="8" t="str">
        <v>Rewards Visa</v>
      </c>
      <c r="C172" s="61">
        <f ca="1"/>
        <v>16000</v>
      </c>
      <c r="D172" s="61">
        <f ca="1">IF(B172="","", ROUND(C172 * (VLOOKUP(B172, '💳 Debt Input'!$A$4:$G$9, 3, FALSE) / 12), 2))</f>
        <v>480</v>
      </c>
      <c r="E172" s="61" cm="1">
        <f t="array" aca="1" ref="E172" ca="1">IF(B172="","", ROUND(MIN(C172+D172, MAX(VLOOKUP(B172,'💳 Debt Input'!$A$4:$G$9,4,FALSE), $F$3 - IFERROR(SUM(OFFSET(E172, -MOD(ROW()-6, 6), 0, MOD(ROW()-6, 6))), 0) - IFERROR(SUM(SUMIF('💳 Debt Input'!$A$4:$A$9, OFFSET(B172, 1, 0, 5-MOD(ROW()-6, 6)), '💳 Debt Input'!$D$4:$D$9)), 0))), 2))</f>
        <v>480</v>
      </c>
      <c r="F172" s="61">
        <f t="shared" ca="1" si="6"/>
        <v>16000</v>
      </c>
      <c r="G172" s="19" t="str">
        <f t="shared" ca="1" si="7"/>
        <v>Active</v>
      </c>
      <c r="H172" s="19"/>
    </row>
    <row r="173" spans="1:8" ht="18" customHeight="1" x14ac:dyDescent="0.35">
      <c r="A173" s="51">
        <v>28</v>
      </c>
      <c r="B173" s="56" t="str" cm="1">
        <f t="array" ref="B173:B178">B167:B172</f>
        <v>Store Card</v>
      </c>
      <c r="C173" s="65" cm="1">
        <f t="array" aca="1" ref="C173:C178" ca="1">F167:F172</f>
        <v>0</v>
      </c>
      <c r="D173" s="65">
        <f ca="1">IF(B173="","", ROUND(C173 * (VLOOKUP(B173, '💳 Debt Input'!$A$4:$G$9, 3, FALSE) / 12), 2))</f>
        <v>0</v>
      </c>
      <c r="E173" s="65" cm="1">
        <f t="array" aca="1" ref="E173" ca="1">IF(B173="","", ROUND(MIN(C173+D173, MAX(VLOOKUP(B173,'💳 Debt Input'!$A$4:$G$9,4,FALSE), $F$3 - IFERROR(SUM(OFFSET(E173, -MOD(ROW()-6, 6), 0, MOD(ROW()-6, 6))), 0) - IFERROR(SUM(SUMIF('💳 Debt Input'!$A$4:$A$9, OFFSET(B173, 1, 0, 5-MOD(ROW()-6, 6)), '💳 Debt Input'!$D$4:$D$9)), 0))), 2))</f>
        <v>0</v>
      </c>
      <c r="F173" s="65">
        <f t="shared" ca="1" si="6"/>
        <v>0</v>
      </c>
      <c r="G173" s="25" t="str">
        <f t="shared" ca="1" si="7"/>
        <v>Paid off</v>
      </c>
      <c r="H173" s="25"/>
    </row>
    <row r="174" spans="1:8" ht="18" customHeight="1" x14ac:dyDescent="0.35">
      <c r="A174" s="52"/>
      <c r="B174" s="26" t="str">
        <v>Medical Bill</v>
      </c>
      <c r="C174" s="66">
        <f ca="1"/>
        <v>0</v>
      </c>
      <c r="D174" s="66">
        <f ca="1">IF(B174="","", ROUND(C174 * (VLOOKUP(B174, '💳 Debt Input'!$A$4:$G$9, 3, FALSE) / 12), 2))</f>
        <v>0</v>
      </c>
      <c r="E174" s="66" cm="1">
        <f t="array" aca="1" ref="E174" ca="1">IF(B174="","", ROUND(MIN(C174+D174, MAX(VLOOKUP(B174,'💳 Debt Input'!$A$4:$G$9,4,FALSE), $F$3 - IFERROR(SUM(OFFSET(E174, -MOD(ROW()-6, 6), 0, MOD(ROW()-6, 6))), 0) - IFERROR(SUM(SUMIF('💳 Debt Input'!$A$4:$A$9, OFFSET(B174, 1, 0, 5-MOD(ROW()-6, 6)), '💳 Debt Input'!$D$4:$D$9)), 0))), 2))</f>
        <v>0</v>
      </c>
      <c r="F174" s="66">
        <f t="shared" ca="1" si="6"/>
        <v>0</v>
      </c>
      <c r="G174" s="28" t="str">
        <f t="shared" ca="1" si="7"/>
        <v>Paid off</v>
      </c>
      <c r="H174" s="28"/>
    </row>
    <row r="175" spans="1:8" ht="18" customHeight="1" x14ac:dyDescent="0.35">
      <c r="A175" s="52"/>
      <c r="B175" s="26" t="str">
        <v>Personal Loan</v>
      </c>
      <c r="C175" s="66">
        <f ca="1"/>
        <v>404.29</v>
      </c>
      <c r="D175" s="66">
        <f ca="1">IF(B175="","", ROUND(C175 * (VLOOKUP(B175, '💳 Debt Input'!$A$4:$G$9, 3, FALSE) / 12), 2))</f>
        <v>2.02</v>
      </c>
      <c r="E175" s="66" cm="1">
        <f t="array" aca="1" ref="E175" ca="1">IF(B175="","", ROUND(MIN(C175+D175, MAX(VLOOKUP(B175,'💳 Debt Input'!$A$4:$G$9,4,FALSE), $F$3 - IFERROR(SUM(OFFSET(E175, -MOD(ROW()-6, 6), 0, MOD(ROW()-6, 6))), 0) - IFERROR(SUM(SUMIF('💳 Debt Input'!$A$4:$A$9, OFFSET(B175, 1, 0, 5-MOD(ROW()-6, 6)), '💳 Debt Input'!$D$4:$D$9)), 0))), 2))</f>
        <v>65</v>
      </c>
      <c r="F175" s="66">
        <f t="shared" ca="1" si="6"/>
        <v>341.31</v>
      </c>
      <c r="G175" s="28" t="str">
        <f t="shared" ca="1" si="7"/>
        <v>Active</v>
      </c>
      <c r="H175" s="28"/>
    </row>
    <row r="176" spans="1:8" ht="18" customHeight="1" x14ac:dyDescent="0.35">
      <c r="A176" s="49"/>
      <c r="B176" s="6" t="str">
        <v>Auto Loan</v>
      </c>
      <c r="C176" s="63">
        <f ca="1"/>
        <v>1387.96</v>
      </c>
      <c r="D176" s="63">
        <f ca="1">IF(B176="","", ROUND(C176 * (VLOOKUP(B176, '💳 Debt Input'!$A$4:$G$9, 3, FALSE) / 12), 2))</f>
        <v>11.57</v>
      </c>
      <c r="E176" s="63" cm="1">
        <f t="array" aca="1" ref="E176" ca="1">IF(B176="","", ROUND(MIN(C176+D176, MAX(VLOOKUP(B176,'💳 Debt Input'!$A$4:$G$9,4,FALSE), $F$3 - IFERROR(SUM(OFFSET(E176, -MOD(ROW()-6, 6), 0, MOD(ROW()-6, 6))), 0) - IFERROR(SUM(SUMIF('💳 Debt Input'!$A$4:$A$9, OFFSET(B176, 1, 0, 5-MOD(ROW()-6, 6)), '💳 Debt Input'!$D$4:$D$9)), 0))), 2))</f>
        <v>120</v>
      </c>
      <c r="F176" s="63">
        <f t="shared" ca="1" si="6"/>
        <v>1279.53</v>
      </c>
      <c r="G176" s="22" t="str">
        <f t="shared" ca="1" si="7"/>
        <v>Active</v>
      </c>
      <c r="H176" s="22"/>
    </row>
    <row r="177" spans="1:8" ht="18" customHeight="1" x14ac:dyDescent="0.35">
      <c r="A177" s="49"/>
      <c r="B177" s="6" t="str">
        <v>Travel Card</v>
      </c>
      <c r="C177" s="63">
        <f ca="1"/>
        <v>4546.8100000000004</v>
      </c>
      <c r="D177" s="63">
        <f ca="1">IF(B177="","", ROUND(C177 * (VLOOKUP(B177, '💳 Debt Input'!$A$4:$G$9, 3, FALSE) / 12), 2))</f>
        <v>68.2</v>
      </c>
      <c r="E177" s="63" cm="1">
        <f t="array" aca="1" ref="E177" ca="1">IF(B177="","", ROUND(MIN(C177+D177, MAX(VLOOKUP(B177,'💳 Debt Input'!$A$4:$G$9,4,FALSE), $F$3 - IFERROR(SUM(OFFSET(E177, -MOD(ROW()-6, 6), 0, MOD(ROW()-6, 6))), 0) - IFERROR(SUM(SUMIF('💳 Debt Input'!$A$4:$A$9, OFFSET(B177, 1, 0, 5-MOD(ROW()-6, 6)), '💳 Debt Input'!$D$4:$D$9)), 0))), 2))</f>
        <v>270</v>
      </c>
      <c r="F177" s="63">
        <f t="shared" ca="1" si="6"/>
        <v>4345.01</v>
      </c>
      <c r="G177" s="22" t="str">
        <f t="shared" ca="1" si="7"/>
        <v>Active</v>
      </c>
      <c r="H177" s="22"/>
    </row>
    <row r="178" spans="1:8" ht="18" customHeight="1" x14ac:dyDescent="0.35">
      <c r="A178" s="49"/>
      <c r="B178" s="6" t="str">
        <v>Rewards Visa</v>
      </c>
      <c r="C178" s="63">
        <f ca="1"/>
        <v>16000</v>
      </c>
      <c r="D178" s="63">
        <f ca="1">IF(B178="","", ROUND(C178 * (VLOOKUP(B178, '💳 Debt Input'!$A$4:$G$9, 3, FALSE) / 12), 2))</f>
        <v>480</v>
      </c>
      <c r="E178" s="63" cm="1">
        <f t="array" aca="1" ref="E178" ca="1">IF(B178="","", ROUND(MIN(C178+D178, MAX(VLOOKUP(B178,'💳 Debt Input'!$A$4:$G$9,4,FALSE), $F$3 - IFERROR(SUM(OFFSET(E178, -MOD(ROW()-6, 6), 0, MOD(ROW()-6, 6))), 0) - IFERROR(SUM(SUMIF('💳 Debt Input'!$A$4:$A$9, OFFSET(B178, 1, 0, 5-MOD(ROW()-6, 6)), '💳 Debt Input'!$D$4:$D$9)), 0))), 2))</f>
        <v>480</v>
      </c>
      <c r="F178" s="63">
        <f t="shared" ca="1" si="6"/>
        <v>16000</v>
      </c>
      <c r="G178" s="22" t="str">
        <f t="shared" ca="1" si="7"/>
        <v>Active</v>
      </c>
      <c r="H178" s="22"/>
    </row>
    <row r="179" spans="1:8" ht="18" customHeight="1" x14ac:dyDescent="0.35">
      <c r="A179" s="51">
        <v>29</v>
      </c>
      <c r="B179" s="56" t="str" cm="1">
        <f t="array" ref="B179:B184">B173:B178</f>
        <v>Store Card</v>
      </c>
      <c r="C179" s="65" cm="1">
        <f t="array" aca="1" ref="C179:C184" ca="1">F173:F178</f>
        <v>0</v>
      </c>
      <c r="D179" s="65">
        <f ca="1">IF(B179="","", ROUND(C179 * (VLOOKUP(B179, '💳 Debt Input'!$A$4:$G$9, 3, FALSE) / 12), 2))</f>
        <v>0</v>
      </c>
      <c r="E179" s="65" cm="1">
        <f t="array" aca="1" ref="E179" ca="1">IF(B179="","", ROUND(MIN(C179+D179, MAX(VLOOKUP(B179,'💳 Debt Input'!$A$4:$G$9,4,FALSE), $F$3 - IFERROR(SUM(OFFSET(E179, -MOD(ROW()-6, 6), 0, MOD(ROW()-6, 6))), 0) - IFERROR(SUM(SUMIF('💳 Debt Input'!$A$4:$A$9, OFFSET(B179, 1, 0, 5-MOD(ROW()-6, 6)), '💳 Debt Input'!$D$4:$D$9)), 0))), 2))</f>
        <v>0</v>
      </c>
      <c r="F179" s="65">
        <f t="shared" ca="1" si="6"/>
        <v>0</v>
      </c>
      <c r="G179" s="25" t="str">
        <f t="shared" ca="1" si="7"/>
        <v>Paid off</v>
      </c>
      <c r="H179" s="25"/>
    </row>
    <row r="180" spans="1:8" ht="18" customHeight="1" x14ac:dyDescent="0.35">
      <c r="A180" s="52"/>
      <c r="B180" s="26" t="str">
        <v>Medical Bill</v>
      </c>
      <c r="C180" s="66">
        <f ca="1"/>
        <v>0</v>
      </c>
      <c r="D180" s="66">
        <f ca="1">IF(B180="","", ROUND(C180 * (VLOOKUP(B180, '💳 Debt Input'!$A$4:$G$9, 3, FALSE) / 12), 2))</f>
        <v>0</v>
      </c>
      <c r="E180" s="66" cm="1">
        <f t="array" aca="1" ref="E180" ca="1">IF(B180="","", ROUND(MIN(C180+D180, MAX(VLOOKUP(B180,'💳 Debt Input'!$A$4:$G$9,4,FALSE), $F$3 - IFERROR(SUM(OFFSET(E180, -MOD(ROW()-6, 6), 0, MOD(ROW()-6, 6))), 0) - IFERROR(SUM(SUMIF('💳 Debt Input'!$A$4:$A$9, OFFSET(B180, 1, 0, 5-MOD(ROW()-6, 6)), '💳 Debt Input'!$D$4:$D$9)), 0))), 2))</f>
        <v>0</v>
      </c>
      <c r="F180" s="66">
        <f t="shared" ca="1" si="6"/>
        <v>0</v>
      </c>
      <c r="G180" s="28" t="str">
        <f t="shared" ca="1" si="7"/>
        <v>Paid off</v>
      </c>
      <c r="H180" s="28"/>
    </row>
    <row r="181" spans="1:8" ht="18" customHeight="1" x14ac:dyDescent="0.35">
      <c r="A181" s="52"/>
      <c r="B181" s="26" t="str">
        <v>Personal Loan</v>
      </c>
      <c r="C181" s="66">
        <f ca="1"/>
        <v>341.31</v>
      </c>
      <c r="D181" s="66">
        <f ca="1">IF(B181="","", ROUND(C181 * (VLOOKUP(B181, '💳 Debt Input'!$A$4:$G$9, 3, FALSE) / 12), 2))</f>
        <v>1.71</v>
      </c>
      <c r="E181" s="66" cm="1">
        <f t="array" aca="1" ref="E181" ca="1">IF(B181="","", ROUND(MIN(C181+D181, MAX(VLOOKUP(B181,'💳 Debt Input'!$A$4:$G$9,4,FALSE), $F$3 - IFERROR(SUM(OFFSET(E181, -MOD(ROW()-6, 6), 0, MOD(ROW()-6, 6))), 0) - IFERROR(SUM(SUMIF('💳 Debt Input'!$A$4:$A$9, OFFSET(B181, 1, 0, 5-MOD(ROW()-6, 6)), '💳 Debt Input'!$D$4:$D$9)), 0))), 2))</f>
        <v>65</v>
      </c>
      <c r="F181" s="66">
        <f t="shared" ca="1" si="6"/>
        <v>278.02</v>
      </c>
      <c r="G181" s="28" t="str">
        <f t="shared" ca="1" si="7"/>
        <v>Active</v>
      </c>
      <c r="H181" s="28"/>
    </row>
    <row r="182" spans="1:8" ht="18" customHeight="1" x14ac:dyDescent="0.35">
      <c r="A182" s="47"/>
      <c r="B182" s="8" t="str">
        <v>Auto Loan</v>
      </c>
      <c r="C182" s="61">
        <f ca="1"/>
        <v>1279.53</v>
      </c>
      <c r="D182" s="61">
        <f ca="1">IF(B182="","", ROUND(C182 * (VLOOKUP(B182, '💳 Debt Input'!$A$4:$G$9, 3, FALSE) / 12), 2))</f>
        <v>10.66</v>
      </c>
      <c r="E182" s="61" cm="1">
        <f t="array" aca="1" ref="E182" ca="1">IF(B182="","", ROUND(MIN(C182+D182, MAX(VLOOKUP(B182,'💳 Debt Input'!$A$4:$G$9,4,FALSE), $F$3 - IFERROR(SUM(OFFSET(E182, -MOD(ROW()-6, 6), 0, MOD(ROW()-6, 6))), 0) - IFERROR(SUM(SUMIF('💳 Debt Input'!$A$4:$A$9, OFFSET(B182, 1, 0, 5-MOD(ROW()-6, 6)), '💳 Debt Input'!$D$4:$D$9)), 0))), 2))</f>
        <v>120</v>
      </c>
      <c r="F182" s="61">
        <f t="shared" ca="1" si="6"/>
        <v>1170.19</v>
      </c>
      <c r="G182" s="19" t="str">
        <f t="shared" ca="1" si="7"/>
        <v>Active</v>
      </c>
      <c r="H182" s="19"/>
    </row>
    <row r="183" spans="1:8" ht="18" customHeight="1" x14ac:dyDescent="0.35">
      <c r="A183" s="47"/>
      <c r="B183" s="8" t="str">
        <v>Travel Card</v>
      </c>
      <c r="C183" s="61">
        <f ca="1"/>
        <v>4345.01</v>
      </c>
      <c r="D183" s="61">
        <f ca="1">IF(B183="","", ROUND(C183 * (VLOOKUP(B183, '💳 Debt Input'!$A$4:$G$9, 3, FALSE) / 12), 2))</f>
        <v>65.180000000000007</v>
      </c>
      <c r="E183" s="61" cm="1">
        <f t="array" aca="1" ref="E183" ca="1">IF(B183="","", ROUND(MIN(C183+D183, MAX(VLOOKUP(B183,'💳 Debt Input'!$A$4:$G$9,4,FALSE), $F$3 - IFERROR(SUM(OFFSET(E183, -MOD(ROW()-6, 6), 0, MOD(ROW()-6, 6))), 0) - IFERROR(SUM(SUMIF('💳 Debt Input'!$A$4:$A$9, OFFSET(B183, 1, 0, 5-MOD(ROW()-6, 6)), '💳 Debt Input'!$D$4:$D$9)), 0))), 2))</f>
        <v>270</v>
      </c>
      <c r="F183" s="61">
        <f t="shared" ca="1" si="6"/>
        <v>4140.1899999999996</v>
      </c>
      <c r="G183" s="19" t="str">
        <f t="shared" ca="1" si="7"/>
        <v>Active</v>
      </c>
      <c r="H183" s="19"/>
    </row>
    <row r="184" spans="1:8" ht="18" customHeight="1" x14ac:dyDescent="0.35">
      <c r="A184" s="47"/>
      <c r="B184" s="8" t="str">
        <v>Rewards Visa</v>
      </c>
      <c r="C184" s="61">
        <f ca="1"/>
        <v>16000</v>
      </c>
      <c r="D184" s="61">
        <f ca="1">IF(B184="","", ROUND(C184 * (VLOOKUP(B184, '💳 Debt Input'!$A$4:$G$9, 3, FALSE) / 12), 2))</f>
        <v>480</v>
      </c>
      <c r="E184" s="61" cm="1">
        <f t="array" aca="1" ref="E184" ca="1">IF(B184="","", ROUND(MIN(C184+D184, MAX(VLOOKUP(B184,'💳 Debt Input'!$A$4:$G$9,4,FALSE), $F$3 - IFERROR(SUM(OFFSET(E184, -MOD(ROW()-6, 6), 0, MOD(ROW()-6, 6))), 0) - IFERROR(SUM(SUMIF('💳 Debt Input'!$A$4:$A$9, OFFSET(B184, 1, 0, 5-MOD(ROW()-6, 6)), '💳 Debt Input'!$D$4:$D$9)), 0))), 2))</f>
        <v>480</v>
      </c>
      <c r="F184" s="61">
        <f t="shared" ca="1" si="6"/>
        <v>16000</v>
      </c>
      <c r="G184" s="19" t="str">
        <f t="shared" ca="1" si="7"/>
        <v>Active</v>
      </c>
      <c r="H184" s="19"/>
    </row>
    <row r="185" spans="1:8" ht="18" customHeight="1" x14ac:dyDescent="0.35">
      <c r="A185" s="51">
        <v>30</v>
      </c>
      <c r="B185" s="56" t="str" cm="1">
        <f t="array" ref="B185:B190">B179:B184</f>
        <v>Store Card</v>
      </c>
      <c r="C185" s="65" cm="1">
        <f t="array" aca="1" ref="C185:C190" ca="1">F179:F184</f>
        <v>0</v>
      </c>
      <c r="D185" s="65">
        <f ca="1">IF(B185="","", ROUND(C185 * (VLOOKUP(B185, '💳 Debt Input'!$A$4:$G$9, 3, FALSE) / 12), 2))</f>
        <v>0</v>
      </c>
      <c r="E185" s="65" cm="1">
        <f t="array" aca="1" ref="E185" ca="1">IF(B185="","", ROUND(MIN(C185+D185, MAX(VLOOKUP(B185,'💳 Debt Input'!$A$4:$G$9,4,FALSE), $F$3 - IFERROR(SUM(OFFSET(E185, -MOD(ROW()-6, 6), 0, MOD(ROW()-6, 6))), 0) - IFERROR(SUM(SUMIF('💳 Debt Input'!$A$4:$A$9, OFFSET(B185, 1, 0, 5-MOD(ROW()-6, 6)), '💳 Debt Input'!$D$4:$D$9)), 0))), 2))</f>
        <v>0</v>
      </c>
      <c r="F185" s="65">
        <f t="shared" ca="1" si="6"/>
        <v>0</v>
      </c>
      <c r="G185" s="25" t="str">
        <f t="shared" ca="1" si="7"/>
        <v>Paid off</v>
      </c>
      <c r="H185" s="25"/>
    </row>
    <row r="186" spans="1:8" ht="18" customHeight="1" x14ac:dyDescent="0.35">
      <c r="A186" s="52"/>
      <c r="B186" s="26" t="str">
        <v>Medical Bill</v>
      </c>
      <c r="C186" s="66">
        <f ca="1"/>
        <v>0</v>
      </c>
      <c r="D186" s="66">
        <f ca="1">IF(B186="","", ROUND(C186 * (VLOOKUP(B186, '💳 Debt Input'!$A$4:$G$9, 3, FALSE) / 12), 2))</f>
        <v>0</v>
      </c>
      <c r="E186" s="66" cm="1">
        <f t="array" aca="1" ref="E186" ca="1">IF(B186="","", ROUND(MIN(C186+D186, MAX(VLOOKUP(B186,'💳 Debt Input'!$A$4:$G$9,4,FALSE), $F$3 - IFERROR(SUM(OFFSET(E186, -MOD(ROW()-6, 6), 0, MOD(ROW()-6, 6))), 0) - IFERROR(SUM(SUMIF('💳 Debt Input'!$A$4:$A$9, OFFSET(B186, 1, 0, 5-MOD(ROW()-6, 6)), '💳 Debt Input'!$D$4:$D$9)), 0))), 2))</f>
        <v>0</v>
      </c>
      <c r="F186" s="66">
        <f t="shared" ca="1" si="6"/>
        <v>0</v>
      </c>
      <c r="G186" s="28" t="str">
        <f t="shared" ca="1" si="7"/>
        <v>Paid off</v>
      </c>
      <c r="H186" s="28"/>
    </row>
    <row r="187" spans="1:8" ht="18" customHeight="1" x14ac:dyDescent="0.35">
      <c r="A187" s="52"/>
      <c r="B187" s="26" t="str">
        <v>Personal Loan</v>
      </c>
      <c r="C187" s="66">
        <f ca="1"/>
        <v>278.02</v>
      </c>
      <c r="D187" s="66">
        <f ca="1">IF(B187="","", ROUND(C187 * (VLOOKUP(B187, '💳 Debt Input'!$A$4:$G$9, 3, FALSE) / 12), 2))</f>
        <v>1.39</v>
      </c>
      <c r="E187" s="66" cm="1">
        <f t="array" aca="1" ref="E187" ca="1">IF(B187="","", ROUND(MIN(C187+D187, MAX(VLOOKUP(B187,'💳 Debt Input'!$A$4:$G$9,4,FALSE), $F$3 - IFERROR(SUM(OFFSET(E187, -MOD(ROW()-6, 6), 0, MOD(ROW()-6, 6))), 0) - IFERROR(SUM(SUMIF('💳 Debt Input'!$A$4:$A$9, OFFSET(B187, 1, 0, 5-MOD(ROW()-6, 6)), '💳 Debt Input'!$D$4:$D$9)), 0))), 2))</f>
        <v>65</v>
      </c>
      <c r="F187" s="66">
        <f t="shared" ca="1" si="6"/>
        <v>214.41</v>
      </c>
      <c r="G187" s="28" t="str">
        <f t="shared" ca="1" si="7"/>
        <v>Active</v>
      </c>
      <c r="H187" s="28"/>
    </row>
    <row r="188" spans="1:8" ht="18" customHeight="1" x14ac:dyDescent="0.35">
      <c r="A188" s="49"/>
      <c r="B188" s="6" t="str">
        <v>Auto Loan</v>
      </c>
      <c r="C188" s="63">
        <f ca="1"/>
        <v>1170.19</v>
      </c>
      <c r="D188" s="63">
        <f ca="1">IF(B188="","", ROUND(C188 * (VLOOKUP(B188, '💳 Debt Input'!$A$4:$G$9, 3, FALSE) / 12), 2))</f>
        <v>9.75</v>
      </c>
      <c r="E188" s="63" cm="1">
        <f t="array" aca="1" ref="E188" ca="1">IF(B188="","", ROUND(MIN(C188+D188, MAX(VLOOKUP(B188,'💳 Debt Input'!$A$4:$G$9,4,FALSE), $F$3 - IFERROR(SUM(OFFSET(E188, -MOD(ROW()-6, 6), 0, MOD(ROW()-6, 6))), 0) - IFERROR(SUM(SUMIF('💳 Debt Input'!$A$4:$A$9, OFFSET(B188, 1, 0, 5-MOD(ROW()-6, 6)), '💳 Debt Input'!$D$4:$D$9)), 0))), 2))</f>
        <v>120</v>
      </c>
      <c r="F188" s="63">
        <f t="shared" ca="1" si="6"/>
        <v>1059.94</v>
      </c>
      <c r="G188" s="22" t="str">
        <f t="shared" ca="1" si="7"/>
        <v>Active</v>
      </c>
      <c r="H188" s="22"/>
    </row>
    <row r="189" spans="1:8" ht="18" customHeight="1" x14ac:dyDescent="0.35">
      <c r="A189" s="49"/>
      <c r="B189" s="6" t="str">
        <v>Travel Card</v>
      </c>
      <c r="C189" s="63">
        <f ca="1"/>
        <v>4140.1899999999996</v>
      </c>
      <c r="D189" s="63">
        <f ca="1">IF(B189="","", ROUND(C189 * (VLOOKUP(B189, '💳 Debt Input'!$A$4:$G$9, 3, FALSE) / 12), 2))</f>
        <v>62.1</v>
      </c>
      <c r="E189" s="63" cm="1">
        <f t="array" aca="1" ref="E189" ca="1">IF(B189="","", ROUND(MIN(C189+D189, MAX(VLOOKUP(B189,'💳 Debt Input'!$A$4:$G$9,4,FALSE), $F$3 - IFERROR(SUM(OFFSET(E189, -MOD(ROW()-6, 6), 0, MOD(ROW()-6, 6))), 0) - IFERROR(SUM(SUMIF('💳 Debt Input'!$A$4:$A$9, OFFSET(B189, 1, 0, 5-MOD(ROW()-6, 6)), '💳 Debt Input'!$D$4:$D$9)), 0))), 2))</f>
        <v>270</v>
      </c>
      <c r="F189" s="63">
        <f t="shared" ca="1" si="6"/>
        <v>3932.29</v>
      </c>
      <c r="G189" s="22" t="str">
        <f t="shared" ca="1" si="7"/>
        <v>Active</v>
      </c>
      <c r="H189" s="22"/>
    </row>
    <row r="190" spans="1:8" ht="18" customHeight="1" x14ac:dyDescent="0.35">
      <c r="A190" s="49"/>
      <c r="B190" s="6" t="str">
        <v>Rewards Visa</v>
      </c>
      <c r="C190" s="63">
        <f ca="1"/>
        <v>16000</v>
      </c>
      <c r="D190" s="63">
        <f ca="1">IF(B190="","", ROUND(C190 * (VLOOKUP(B190, '💳 Debt Input'!$A$4:$G$9, 3, FALSE) / 12), 2))</f>
        <v>480</v>
      </c>
      <c r="E190" s="63" cm="1">
        <f t="array" aca="1" ref="E190" ca="1">IF(B190="","", ROUND(MIN(C190+D190, MAX(VLOOKUP(B190,'💳 Debt Input'!$A$4:$G$9,4,FALSE), $F$3 - IFERROR(SUM(OFFSET(E190, -MOD(ROW()-6, 6), 0, MOD(ROW()-6, 6))), 0) - IFERROR(SUM(SUMIF('💳 Debt Input'!$A$4:$A$9, OFFSET(B190, 1, 0, 5-MOD(ROW()-6, 6)), '💳 Debt Input'!$D$4:$D$9)), 0))), 2))</f>
        <v>480</v>
      </c>
      <c r="F190" s="63">
        <f t="shared" ca="1" si="6"/>
        <v>16000</v>
      </c>
      <c r="G190" s="22" t="str">
        <f t="shared" ca="1" si="7"/>
        <v>Active</v>
      </c>
      <c r="H190" s="22"/>
    </row>
    <row r="191" spans="1:8" ht="18" customHeight="1" x14ac:dyDescent="0.35">
      <c r="A191" s="51">
        <v>31</v>
      </c>
      <c r="B191" s="56" t="str" cm="1">
        <f t="array" ref="B191:B196">B185:B190</f>
        <v>Store Card</v>
      </c>
      <c r="C191" s="65" cm="1">
        <f t="array" aca="1" ref="C191:C196" ca="1">F185:F190</f>
        <v>0</v>
      </c>
      <c r="D191" s="65">
        <f ca="1">IF(B191="","", ROUND(C191 * (VLOOKUP(B191, '💳 Debt Input'!$A$4:$G$9, 3, FALSE) / 12), 2))</f>
        <v>0</v>
      </c>
      <c r="E191" s="65" cm="1">
        <f t="array" aca="1" ref="E191" ca="1">IF(B191="","", ROUND(MIN(C191+D191, MAX(VLOOKUP(B191,'💳 Debt Input'!$A$4:$G$9,4,FALSE), $F$3 - IFERROR(SUM(OFFSET(E191, -MOD(ROW()-6, 6), 0, MOD(ROW()-6, 6))), 0) - IFERROR(SUM(SUMIF('💳 Debt Input'!$A$4:$A$9, OFFSET(B191, 1, 0, 5-MOD(ROW()-6, 6)), '💳 Debt Input'!$D$4:$D$9)), 0))), 2))</f>
        <v>0</v>
      </c>
      <c r="F191" s="65">
        <f t="shared" ca="1" si="6"/>
        <v>0</v>
      </c>
      <c r="G191" s="25" t="str">
        <f t="shared" ca="1" si="7"/>
        <v>Paid off</v>
      </c>
      <c r="H191" s="25"/>
    </row>
    <row r="192" spans="1:8" ht="18" customHeight="1" x14ac:dyDescent="0.35">
      <c r="A192" s="52"/>
      <c r="B192" s="26" t="str">
        <v>Medical Bill</v>
      </c>
      <c r="C192" s="66">
        <f ca="1"/>
        <v>0</v>
      </c>
      <c r="D192" s="66">
        <f ca="1">IF(B192="","", ROUND(C192 * (VLOOKUP(B192, '💳 Debt Input'!$A$4:$G$9, 3, FALSE) / 12), 2))</f>
        <v>0</v>
      </c>
      <c r="E192" s="66" cm="1">
        <f t="array" aca="1" ref="E192" ca="1">IF(B192="","", ROUND(MIN(C192+D192, MAX(VLOOKUP(B192,'💳 Debt Input'!$A$4:$G$9,4,FALSE), $F$3 - IFERROR(SUM(OFFSET(E192, -MOD(ROW()-6, 6), 0, MOD(ROW()-6, 6))), 0) - IFERROR(SUM(SUMIF('💳 Debt Input'!$A$4:$A$9, OFFSET(B192, 1, 0, 5-MOD(ROW()-6, 6)), '💳 Debt Input'!$D$4:$D$9)), 0))), 2))</f>
        <v>0</v>
      </c>
      <c r="F192" s="66">
        <f t="shared" ca="1" si="6"/>
        <v>0</v>
      </c>
      <c r="G192" s="28" t="str">
        <f t="shared" ca="1" si="7"/>
        <v>Paid off</v>
      </c>
      <c r="H192" s="28"/>
    </row>
    <row r="193" spans="1:8" ht="18" customHeight="1" x14ac:dyDescent="0.35">
      <c r="A193" s="52"/>
      <c r="B193" s="26" t="str">
        <v>Personal Loan</v>
      </c>
      <c r="C193" s="66">
        <f ca="1"/>
        <v>214.41</v>
      </c>
      <c r="D193" s="66">
        <f ca="1">IF(B193="","", ROUND(C193 * (VLOOKUP(B193, '💳 Debt Input'!$A$4:$G$9, 3, FALSE) / 12), 2))</f>
        <v>1.07</v>
      </c>
      <c r="E193" s="66" cm="1">
        <f t="array" aca="1" ref="E193" ca="1">IF(B193="","", ROUND(MIN(C193+D193, MAX(VLOOKUP(B193,'💳 Debt Input'!$A$4:$G$9,4,FALSE), $F$3 - IFERROR(SUM(OFFSET(E193, -MOD(ROW()-6, 6), 0, MOD(ROW()-6, 6))), 0) - IFERROR(SUM(SUMIF('💳 Debt Input'!$A$4:$A$9, OFFSET(B193, 1, 0, 5-MOD(ROW()-6, 6)), '💳 Debt Input'!$D$4:$D$9)), 0))), 2))</f>
        <v>65</v>
      </c>
      <c r="F193" s="66">
        <f t="shared" ca="1" si="6"/>
        <v>150.47999999999999</v>
      </c>
      <c r="G193" s="28" t="str">
        <f t="shared" ca="1" si="7"/>
        <v>Active</v>
      </c>
      <c r="H193" s="28"/>
    </row>
    <row r="194" spans="1:8" ht="18" customHeight="1" x14ac:dyDescent="0.35">
      <c r="A194" s="47"/>
      <c r="B194" s="8" t="str">
        <v>Auto Loan</v>
      </c>
      <c r="C194" s="61">
        <f ca="1"/>
        <v>1059.94</v>
      </c>
      <c r="D194" s="61">
        <f ca="1">IF(B194="","", ROUND(C194 * (VLOOKUP(B194, '💳 Debt Input'!$A$4:$G$9, 3, FALSE) / 12), 2))</f>
        <v>8.83</v>
      </c>
      <c r="E194" s="61" cm="1">
        <f t="array" aca="1" ref="E194" ca="1">IF(B194="","", ROUND(MIN(C194+D194, MAX(VLOOKUP(B194,'💳 Debt Input'!$A$4:$G$9,4,FALSE), $F$3 - IFERROR(SUM(OFFSET(E194, -MOD(ROW()-6, 6), 0, MOD(ROW()-6, 6))), 0) - IFERROR(SUM(SUMIF('💳 Debt Input'!$A$4:$A$9, OFFSET(B194, 1, 0, 5-MOD(ROW()-6, 6)), '💳 Debt Input'!$D$4:$D$9)), 0))), 2))</f>
        <v>120</v>
      </c>
      <c r="F194" s="61">
        <f t="shared" ca="1" si="6"/>
        <v>948.77</v>
      </c>
      <c r="G194" s="19" t="str">
        <f t="shared" ca="1" si="7"/>
        <v>Active</v>
      </c>
      <c r="H194" s="19"/>
    </row>
    <row r="195" spans="1:8" ht="18" customHeight="1" x14ac:dyDescent="0.35">
      <c r="A195" s="47"/>
      <c r="B195" s="8" t="str">
        <v>Travel Card</v>
      </c>
      <c r="C195" s="61">
        <f ca="1"/>
        <v>3932.29</v>
      </c>
      <c r="D195" s="61">
        <f ca="1">IF(B195="","", ROUND(C195 * (VLOOKUP(B195, '💳 Debt Input'!$A$4:$G$9, 3, FALSE) / 12), 2))</f>
        <v>58.98</v>
      </c>
      <c r="E195" s="61" cm="1">
        <f t="array" aca="1" ref="E195" ca="1">IF(B195="","", ROUND(MIN(C195+D195, MAX(VLOOKUP(B195,'💳 Debt Input'!$A$4:$G$9,4,FALSE), $F$3 - IFERROR(SUM(OFFSET(E195, -MOD(ROW()-6, 6), 0, MOD(ROW()-6, 6))), 0) - IFERROR(SUM(SUMIF('💳 Debt Input'!$A$4:$A$9, OFFSET(B195, 1, 0, 5-MOD(ROW()-6, 6)), '💳 Debt Input'!$D$4:$D$9)), 0))), 2))</f>
        <v>270</v>
      </c>
      <c r="F195" s="61">
        <f t="shared" ca="1" si="6"/>
        <v>3721.27</v>
      </c>
      <c r="G195" s="19" t="str">
        <f t="shared" ca="1" si="7"/>
        <v>Active</v>
      </c>
      <c r="H195" s="19"/>
    </row>
    <row r="196" spans="1:8" ht="18" customHeight="1" x14ac:dyDescent="0.35">
      <c r="A196" s="47"/>
      <c r="B196" s="8" t="str">
        <v>Rewards Visa</v>
      </c>
      <c r="C196" s="61">
        <f ca="1"/>
        <v>16000</v>
      </c>
      <c r="D196" s="61">
        <f ca="1">IF(B196="","", ROUND(C196 * (VLOOKUP(B196, '💳 Debt Input'!$A$4:$G$9, 3, FALSE) / 12), 2))</f>
        <v>480</v>
      </c>
      <c r="E196" s="61" cm="1">
        <f t="array" aca="1" ref="E196" ca="1">IF(B196="","", ROUND(MIN(C196+D196, MAX(VLOOKUP(B196,'💳 Debt Input'!$A$4:$G$9,4,FALSE), $F$3 - IFERROR(SUM(OFFSET(E196, -MOD(ROW()-6, 6), 0, MOD(ROW()-6, 6))), 0) - IFERROR(SUM(SUMIF('💳 Debt Input'!$A$4:$A$9, OFFSET(B196, 1, 0, 5-MOD(ROW()-6, 6)), '💳 Debt Input'!$D$4:$D$9)), 0))), 2))</f>
        <v>480</v>
      </c>
      <c r="F196" s="61">
        <f t="shared" ca="1" si="6"/>
        <v>16000</v>
      </c>
      <c r="G196" s="19" t="str">
        <f t="shared" ca="1" si="7"/>
        <v>Active</v>
      </c>
      <c r="H196" s="19"/>
    </row>
    <row r="197" spans="1:8" ht="18" customHeight="1" x14ac:dyDescent="0.35">
      <c r="A197" s="51">
        <v>32</v>
      </c>
      <c r="B197" s="56" t="str" cm="1">
        <f t="array" ref="B197:B202">B191:B196</f>
        <v>Store Card</v>
      </c>
      <c r="C197" s="65" cm="1">
        <f t="array" aca="1" ref="C197:C202" ca="1">F191:F196</f>
        <v>0</v>
      </c>
      <c r="D197" s="65">
        <f ca="1">IF(B197="","", ROUND(C197 * (VLOOKUP(B197, '💳 Debt Input'!$A$4:$G$9, 3, FALSE) / 12), 2))</f>
        <v>0</v>
      </c>
      <c r="E197" s="65" cm="1">
        <f t="array" aca="1" ref="E197" ca="1">IF(B197="","", ROUND(MIN(C197+D197, MAX(VLOOKUP(B197,'💳 Debt Input'!$A$4:$G$9,4,FALSE), $F$3 - IFERROR(SUM(OFFSET(E197, -MOD(ROW()-6, 6), 0, MOD(ROW()-6, 6))), 0) - IFERROR(SUM(SUMIF('💳 Debt Input'!$A$4:$A$9, OFFSET(B197, 1, 0, 5-MOD(ROW()-6, 6)), '💳 Debt Input'!$D$4:$D$9)), 0))), 2))</f>
        <v>0</v>
      </c>
      <c r="F197" s="65">
        <f t="shared" ca="1" si="6"/>
        <v>0</v>
      </c>
      <c r="G197" s="25" t="str">
        <f t="shared" ca="1" si="7"/>
        <v>Paid off</v>
      </c>
      <c r="H197" s="25"/>
    </row>
    <row r="198" spans="1:8" ht="18" customHeight="1" x14ac:dyDescent="0.35">
      <c r="A198" s="52"/>
      <c r="B198" s="26" t="str">
        <v>Medical Bill</v>
      </c>
      <c r="C198" s="66">
        <f ca="1"/>
        <v>0</v>
      </c>
      <c r="D198" s="66">
        <f ca="1">IF(B198="","", ROUND(C198 * (VLOOKUP(B198, '💳 Debt Input'!$A$4:$G$9, 3, FALSE) / 12), 2))</f>
        <v>0</v>
      </c>
      <c r="E198" s="66" cm="1">
        <f t="array" aca="1" ref="E198" ca="1">IF(B198="","", ROUND(MIN(C198+D198, MAX(VLOOKUP(B198,'💳 Debt Input'!$A$4:$G$9,4,FALSE), $F$3 - IFERROR(SUM(OFFSET(E198, -MOD(ROW()-6, 6), 0, MOD(ROW()-6, 6))), 0) - IFERROR(SUM(SUMIF('💳 Debt Input'!$A$4:$A$9, OFFSET(B198, 1, 0, 5-MOD(ROW()-6, 6)), '💳 Debt Input'!$D$4:$D$9)), 0))), 2))</f>
        <v>0</v>
      </c>
      <c r="F198" s="66">
        <f t="shared" ca="1" si="6"/>
        <v>0</v>
      </c>
      <c r="G198" s="28" t="str">
        <f t="shared" ca="1" si="7"/>
        <v>Paid off</v>
      </c>
      <c r="H198" s="28"/>
    </row>
    <row r="199" spans="1:8" ht="18" customHeight="1" x14ac:dyDescent="0.35">
      <c r="A199" s="52"/>
      <c r="B199" s="26" t="str">
        <v>Personal Loan</v>
      </c>
      <c r="C199" s="66">
        <f ca="1"/>
        <v>150.47999999999999</v>
      </c>
      <c r="D199" s="66">
        <f ca="1">IF(B199="","", ROUND(C199 * (VLOOKUP(B199, '💳 Debt Input'!$A$4:$G$9, 3, FALSE) / 12), 2))</f>
        <v>0.75</v>
      </c>
      <c r="E199" s="66" cm="1">
        <f t="array" aca="1" ref="E199" ca="1">IF(B199="","", ROUND(MIN(C199+D199, MAX(VLOOKUP(B199,'💳 Debt Input'!$A$4:$G$9,4,FALSE), $F$3 - IFERROR(SUM(OFFSET(E199, -MOD(ROW()-6, 6), 0, MOD(ROW()-6, 6))), 0) - IFERROR(SUM(SUMIF('💳 Debt Input'!$A$4:$A$9, OFFSET(B199, 1, 0, 5-MOD(ROW()-6, 6)), '💳 Debt Input'!$D$4:$D$9)), 0))), 2))</f>
        <v>65</v>
      </c>
      <c r="F199" s="66">
        <f t="shared" ca="1" si="6"/>
        <v>86.23</v>
      </c>
      <c r="G199" s="28" t="str">
        <f t="shared" ca="1" si="7"/>
        <v>Active</v>
      </c>
      <c r="H199" s="28"/>
    </row>
    <row r="200" spans="1:8" ht="18" customHeight="1" x14ac:dyDescent="0.35">
      <c r="A200" s="49"/>
      <c r="B200" s="6" t="str">
        <v>Auto Loan</v>
      </c>
      <c r="C200" s="63">
        <f ca="1"/>
        <v>948.77</v>
      </c>
      <c r="D200" s="63">
        <f ca="1">IF(B200="","", ROUND(C200 * (VLOOKUP(B200, '💳 Debt Input'!$A$4:$G$9, 3, FALSE) / 12), 2))</f>
        <v>7.91</v>
      </c>
      <c r="E200" s="63" cm="1">
        <f t="array" aca="1" ref="E200" ca="1">IF(B200="","", ROUND(MIN(C200+D200, MAX(VLOOKUP(B200,'💳 Debt Input'!$A$4:$G$9,4,FALSE), $F$3 - IFERROR(SUM(OFFSET(E200, -MOD(ROW()-6, 6), 0, MOD(ROW()-6, 6))), 0) - IFERROR(SUM(SUMIF('💳 Debt Input'!$A$4:$A$9, OFFSET(B200, 1, 0, 5-MOD(ROW()-6, 6)), '💳 Debt Input'!$D$4:$D$9)), 0))), 2))</f>
        <v>120</v>
      </c>
      <c r="F200" s="63">
        <f t="shared" ca="1" si="6"/>
        <v>836.68</v>
      </c>
      <c r="G200" s="22" t="str">
        <f t="shared" ca="1" si="7"/>
        <v>Active</v>
      </c>
      <c r="H200" s="22"/>
    </row>
    <row r="201" spans="1:8" ht="18" customHeight="1" x14ac:dyDescent="0.35">
      <c r="A201" s="49"/>
      <c r="B201" s="6" t="str">
        <v>Travel Card</v>
      </c>
      <c r="C201" s="63">
        <f ca="1"/>
        <v>3721.27</v>
      </c>
      <c r="D201" s="63">
        <f ca="1">IF(B201="","", ROUND(C201 * (VLOOKUP(B201, '💳 Debt Input'!$A$4:$G$9, 3, FALSE) / 12), 2))</f>
        <v>55.82</v>
      </c>
      <c r="E201" s="63" cm="1">
        <f t="array" aca="1" ref="E201" ca="1">IF(B201="","", ROUND(MIN(C201+D201, MAX(VLOOKUP(B201,'💳 Debt Input'!$A$4:$G$9,4,FALSE), $F$3 - IFERROR(SUM(OFFSET(E201, -MOD(ROW()-6, 6), 0, MOD(ROW()-6, 6))), 0) - IFERROR(SUM(SUMIF('💳 Debt Input'!$A$4:$A$9, OFFSET(B201, 1, 0, 5-MOD(ROW()-6, 6)), '💳 Debt Input'!$D$4:$D$9)), 0))), 2))</f>
        <v>270</v>
      </c>
      <c r="F201" s="63">
        <f t="shared" ca="1" si="6"/>
        <v>3507.09</v>
      </c>
      <c r="G201" s="22" t="str">
        <f t="shared" ca="1" si="7"/>
        <v>Active</v>
      </c>
      <c r="H201" s="22"/>
    </row>
    <row r="202" spans="1:8" ht="18" customHeight="1" x14ac:dyDescent="0.35">
      <c r="A202" s="49"/>
      <c r="B202" s="6" t="str">
        <v>Rewards Visa</v>
      </c>
      <c r="C202" s="63">
        <f ca="1"/>
        <v>16000</v>
      </c>
      <c r="D202" s="63">
        <f ca="1">IF(B202="","", ROUND(C202 * (VLOOKUP(B202, '💳 Debt Input'!$A$4:$G$9, 3, FALSE) / 12), 2))</f>
        <v>480</v>
      </c>
      <c r="E202" s="63" cm="1">
        <f t="array" aca="1" ref="E202" ca="1">IF(B202="","", ROUND(MIN(C202+D202, MAX(VLOOKUP(B202,'💳 Debt Input'!$A$4:$G$9,4,FALSE), $F$3 - IFERROR(SUM(OFFSET(E202, -MOD(ROW()-6, 6), 0, MOD(ROW()-6, 6))), 0) - IFERROR(SUM(SUMIF('💳 Debt Input'!$A$4:$A$9, OFFSET(B202, 1, 0, 5-MOD(ROW()-6, 6)), '💳 Debt Input'!$D$4:$D$9)), 0))), 2))</f>
        <v>480</v>
      </c>
      <c r="F202" s="63">
        <f t="shared" ca="1" si="6"/>
        <v>16000</v>
      </c>
      <c r="G202" s="22" t="str">
        <f t="shared" ca="1" si="7"/>
        <v>Active</v>
      </c>
      <c r="H202" s="22"/>
    </row>
    <row r="203" spans="1:8" ht="18" customHeight="1" x14ac:dyDescent="0.35">
      <c r="A203" s="51">
        <v>33</v>
      </c>
      <c r="B203" s="56" t="str" cm="1">
        <f t="array" ref="B203:B208">B197:B202</f>
        <v>Store Card</v>
      </c>
      <c r="C203" s="65" cm="1">
        <f t="array" aca="1" ref="C203:C208" ca="1">F197:F202</f>
        <v>0</v>
      </c>
      <c r="D203" s="65">
        <f ca="1">IF(B203="","", ROUND(C203 * (VLOOKUP(B203, '💳 Debt Input'!$A$4:$G$9, 3, FALSE) / 12), 2))</f>
        <v>0</v>
      </c>
      <c r="E203" s="65" cm="1">
        <f t="array" aca="1" ref="E203" ca="1">IF(B203="","", ROUND(MIN(C203+D203, MAX(VLOOKUP(B203,'💳 Debt Input'!$A$4:$G$9,4,FALSE), $F$3 - IFERROR(SUM(OFFSET(E203, -MOD(ROW()-6, 6), 0, MOD(ROW()-6, 6))), 0) - IFERROR(SUM(SUMIF('💳 Debt Input'!$A$4:$A$9, OFFSET(B203, 1, 0, 5-MOD(ROW()-6, 6)), '💳 Debt Input'!$D$4:$D$9)), 0))), 2))</f>
        <v>0</v>
      </c>
      <c r="F203" s="65">
        <f t="shared" ca="1" si="6"/>
        <v>0</v>
      </c>
      <c r="G203" s="25" t="str">
        <f t="shared" ca="1" si="7"/>
        <v>Paid off</v>
      </c>
      <c r="H203" s="25"/>
    </row>
    <row r="204" spans="1:8" ht="18" customHeight="1" x14ac:dyDescent="0.35">
      <c r="A204" s="52"/>
      <c r="B204" s="26" t="str">
        <v>Medical Bill</v>
      </c>
      <c r="C204" s="66">
        <f ca="1"/>
        <v>0</v>
      </c>
      <c r="D204" s="66">
        <f ca="1">IF(B204="","", ROUND(C204 * (VLOOKUP(B204, '💳 Debt Input'!$A$4:$G$9, 3, FALSE) / 12), 2))</f>
        <v>0</v>
      </c>
      <c r="E204" s="66" cm="1">
        <f t="array" aca="1" ref="E204" ca="1">IF(B204="","", ROUND(MIN(C204+D204, MAX(VLOOKUP(B204,'💳 Debt Input'!$A$4:$G$9,4,FALSE), $F$3 - IFERROR(SUM(OFFSET(E204, -MOD(ROW()-6, 6), 0, MOD(ROW()-6, 6))), 0) - IFERROR(SUM(SUMIF('💳 Debt Input'!$A$4:$A$9, OFFSET(B204, 1, 0, 5-MOD(ROW()-6, 6)), '💳 Debt Input'!$D$4:$D$9)), 0))), 2))</f>
        <v>0</v>
      </c>
      <c r="F204" s="66">
        <f t="shared" ca="1" si="6"/>
        <v>0</v>
      </c>
      <c r="G204" s="28" t="str">
        <f t="shared" ca="1" si="7"/>
        <v>Paid off</v>
      </c>
      <c r="H204" s="28"/>
    </row>
    <row r="205" spans="1:8" ht="18" customHeight="1" x14ac:dyDescent="0.35">
      <c r="A205" s="52"/>
      <c r="B205" s="26" t="str">
        <v>Personal Loan</v>
      </c>
      <c r="C205" s="66">
        <f ca="1"/>
        <v>86.23</v>
      </c>
      <c r="D205" s="66">
        <f ca="1">IF(B205="","", ROUND(C205 * (VLOOKUP(B205, '💳 Debt Input'!$A$4:$G$9, 3, FALSE) / 12), 2))</f>
        <v>0.43</v>
      </c>
      <c r="E205" s="66" cm="1">
        <f t="array" aca="1" ref="E205" ca="1">IF(B205="","", ROUND(MIN(C205+D205, MAX(VLOOKUP(B205,'💳 Debt Input'!$A$4:$G$9,4,FALSE), $F$3 - IFERROR(SUM(OFFSET(E205, -MOD(ROW()-6, 6), 0, MOD(ROW()-6, 6))), 0) - IFERROR(SUM(SUMIF('💳 Debt Input'!$A$4:$A$9, OFFSET(B205, 1, 0, 5-MOD(ROW()-6, 6)), '💳 Debt Input'!$D$4:$D$9)), 0))), 2))</f>
        <v>65</v>
      </c>
      <c r="F205" s="66">
        <f t="shared" ca="1" si="6"/>
        <v>21.66</v>
      </c>
      <c r="G205" s="28" t="str">
        <f t="shared" ca="1" si="7"/>
        <v>Active</v>
      </c>
      <c r="H205" s="28"/>
    </row>
    <row r="206" spans="1:8" ht="18" customHeight="1" x14ac:dyDescent="0.35">
      <c r="A206" s="47"/>
      <c r="B206" s="8" t="str">
        <v>Auto Loan</v>
      </c>
      <c r="C206" s="61">
        <f ca="1"/>
        <v>836.68</v>
      </c>
      <c r="D206" s="61">
        <f ca="1">IF(B206="","", ROUND(C206 * (VLOOKUP(B206, '💳 Debt Input'!$A$4:$G$9, 3, FALSE) / 12), 2))</f>
        <v>6.97</v>
      </c>
      <c r="E206" s="61" cm="1">
        <f t="array" aca="1" ref="E206" ca="1">IF(B206="","", ROUND(MIN(C206+D206, MAX(VLOOKUP(B206,'💳 Debt Input'!$A$4:$G$9,4,FALSE), $F$3 - IFERROR(SUM(OFFSET(E206, -MOD(ROW()-6, 6), 0, MOD(ROW()-6, 6))), 0) - IFERROR(SUM(SUMIF('💳 Debt Input'!$A$4:$A$9, OFFSET(B206, 1, 0, 5-MOD(ROW()-6, 6)), '💳 Debt Input'!$D$4:$D$9)), 0))), 2))</f>
        <v>120</v>
      </c>
      <c r="F206" s="61">
        <f t="shared" ca="1" si="6"/>
        <v>723.65</v>
      </c>
      <c r="G206" s="19" t="str">
        <f t="shared" ca="1" si="7"/>
        <v>Active</v>
      </c>
      <c r="H206" s="19"/>
    </row>
    <row r="207" spans="1:8" ht="18" customHeight="1" x14ac:dyDescent="0.35">
      <c r="A207" s="47"/>
      <c r="B207" s="8" t="str">
        <v>Travel Card</v>
      </c>
      <c r="C207" s="61">
        <f ca="1"/>
        <v>3507.09</v>
      </c>
      <c r="D207" s="61">
        <f ca="1">IF(B207="","", ROUND(C207 * (VLOOKUP(B207, '💳 Debt Input'!$A$4:$G$9, 3, FALSE) / 12), 2))</f>
        <v>52.61</v>
      </c>
      <c r="E207" s="61" cm="1">
        <f t="array" aca="1" ref="E207" ca="1">IF(B207="","", ROUND(MIN(C207+D207, MAX(VLOOKUP(B207,'💳 Debt Input'!$A$4:$G$9,4,FALSE), $F$3 - IFERROR(SUM(OFFSET(E207, -MOD(ROW()-6, 6), 0, MOD(ROW()-6, 6))), 0) - IFERROR(SUM(SUMIF('💳 Debt Input'!$A$4:$A$9, OFFSET(B207, 1, 0, 5-MOD(ROW()-6, 6)), '💳 Debt Input'!$D$4:$D$9)), 0))), 2))</f>
        <v>270</v>
      </c>
      <c r="F207" s="61">
        <f t="shared" ca="1" si="6"/>
        <v>3289.7</v>
      </c>
      <c r="G207" s="19" t="str">
        <f t="shared" ca="1" si="7"/>
        <v>Active</v>
      </c>
      <c r="H207" s="19"/>
    </row>
    <row r="208" spans="1:8" ht="18" customHeight="1" x14ac:dyDescent="0.35">
      <c r="A208" s="47"/>
      <c r="B208" s="8" t="str">
        <v>Rewards Visa</v>
      </c>
      <c r="C208" s="61">
        <f ca="1"/>
        <v>16000</v>
      </c>
      <c r="D208" s="61">
        <f ca="1">IF(B208="","", ROUND(C208 * (VLOOKUP(B208, '💳 Debt Input'!$A$4:$G$9, 3, FALSE) / 12), 2))</f>
        <v>480</v>
      </c>
      <c r="E208" s="61" cm="1">
        <f t="array" aca="1" ref="E208" ca="1">IF(B208="","", ROUND(MIN(C208+D208, MAX(VLOOKUP(B208,'💳 Debt Input'!$A$4:$G$9,4,FALSE), $F$3 - IFERROR(SUM(OFFSET(E208, -MOD(ROW()-6, 6), 0, MOD(ROW()-6, 6))), 0) - IFERROR(SUM(SUMIF('💳 Debt Input'!$A$4:$A$9, OFFSET(B208, 1, 0, 5-MOD(ROW()-6, 6)), '💳 Debt Input'!$D$4:$D$9)), 0))), 2))</f>
        <v>480</v>
      </c>
      <c r="F208" s="61">
        <f t="shared" ca="1" si="6"/>
        <v>16000</v>
      </c>
      <c r="G208" s="19" t="str">
        <f t="shared" ca="1" si="7"/>
        <v>Active</v>
      </c>
      <c r="H208" s="19"/>
    </row>
    <row r="209" spans="1:8" ht="18" customHeight="1" x14ac:dyDescent="0.35">
      <c r="A209" s="51">
        <v>34</v>
      </c>
      <c r="B209" s="56" t="str" cm="1">
        <f t="array" ref="B209:B214">B203:B208</f>
        <v>Store Card</v>
      </c>
      <c r="C209" s="65" cm="1">
        <f t="array" aca="1" ref="C209:C214" ca="1">F203:F208</f>
        <v>0</v>
      </c>
      <c r="D209" s="65">
        <f ca="1">IF(B209="","", ROUND(C209 * (VLOOKUP(B209, '💳 Debt Input'!$A$4:$G$9, 3, FALSE) / 12), 2))</f>
        <v>0</v>
      </c>
      <c r="E209" s="65" cm="1">
        <f t="array" aca="1" ref="E209" ca="1">IF(B209="","", ROUND(MIN(C209+D209, MAX(VLOOKUP(B209,'💳 Debt Input'!$A$4:$G$9,4,FALSE), $F$3 - IFERROR(SUM(OFFSET(E209, -MOD(ROW()-6, 6), 0, MOD(ROW()-6, 6))), 0) - IFERROR(SUM(SUMIF('💳 Debt Input'!$A$4:$A$9, OFFSET(B209, 1, 0, 5-MOD(ROW()-6, 6)), '💳 Debt Input'!$D$4:$D$9)), 0))), 2))</f>
        <v>0</v>
      </c>
      <c r="F209" s="65">
        <f t="shared" ca="1" si="6"/>
        <v>0</v>
      </c>
      <c r="G209" s="25" t="str">
        <f t="shared" ca="1" si="7"/>
        <v>Paid off</v>
      </c>
      <c r="H209" s="25"/>
    </row>
    <row r="210" spans="1:8" ht="18" customHeight="1" x14ac:dyDescent="0.35">
      <c r="A210" s="52"/>
      <c r="B210" s="26" t="str">
        <v>Medical Bill</v>
      </c>
      <c r="C210" s="66">
        <f ca="1"/>
        <v>0</v>
      </c>
      <c r="D210" s="66">
        <f ca="1">IF(B210="","", ROUND(C210 * (VLOOKUP(B210, '💳 Debt Input'!$A$4:$G$9, 3, FALSE) / 12), 2))</f>
        <v>0</v>
      </c>
      <c r="E210" s="66" cm="1">
        <f t="array" aca="1" ref="E210" ca="1">IF(B210="","", ROUND(MIN(C210+D210, MAX(VLOOKUP(B210,'💳 Debt Input'!$A$4:$G$9,4,FALSE), $F$3 - IFERROR(SUM(OFFSET(E210, -MOD(ROW()-6, 6), 0, MOD(ROW()-6, 6))), 0) - IFERROR(SUM(SUMIF('💳 Debt Input'!$A$4:$A$9, OFFSET(B210, 1, 0, 5-MOD(ROW()-6, 6)), '💳 Debt Input'!$D$4:$D$9)), 0))), 2))</f>
        <v>0</v>
      </c>
      <c r="F210" s="66">
        <f t="shared" ca="1" si="6"/>
        <v>0</v>
      </c>
      <c r="G210" s="28" t="str">
        <f t="shared" ca="1" si="7"/>
        <v>Paid off</v>
      </c>
      <c r="H210" s="28"/>
    </row>
    <row r="211" spans="1:8" ht="18" customHeight="1" x14ac:dyDescent="0.35">
      <c r="A211" s="52"/>
      <c r="B211" s="26" t="str">
        <v>Personal Loan</v>
      </c>
      <c r="C211" s="66">
        <f ca="1"/>
        <v>21.66</v>
      </c>
      <c r="D211" s="66">
        <f ca="1">IF(B211="","", ROUND(C211 * (VLOOKUP(B211, '💳 Debt Input'!$A$4:$G$9, 3, FALSE) / 12), 2))</f>
        <v>0.11</v>
      </c>
      <c r="E211" s="66" cm="1">
        <f t="array" aca="1" ref="E211" ca="1">IF(B211="","", ROUND(MIN(C211+D211, MAX(VLOOKUP(B211,'💳 Debt Input'!$A$4:$G$9,4,FALSE), $F$3 - IFERROR(SUM(OFFSET(E211, -MOD(ROW()-6, 6), 0, MOD(ROW()-6, 6))), 0) - IFERROR(SUM(SUMIF('💳 Debt Input'!$A$4:$A$9, OFFSET(B211, 1, 0, 5-MOD(ROW()-6, 6)), '💳 Debt Input'!$D$4:$D$9)), 0))), 2))</f>
        <v>21.77</v>
      </c>
      <c r="F211" s="66">
        <f t="shared" ca="1" si="6"/>
        <v>0</v>
      </c>
      <c r="G211" s="28" t="str">
        <f t="shared" ca="1" si="7"/>
        <v>Paid off</v>
      </c>
      <c r="H211" s="28"/>
    </row>
    <row r="212" spans="1:8" ht="18" customHeight="1" x14ac:dyDescent="0.35">
      <c r="A212" s="52"/>
      <c r="B212" s="26" t="str">
        <v>Auto Loan</v>
      </c>
      <c r="C212" s="66">
        <f ca="1"/>
        <v>723.65</v>
      </c>
      <c r="D212" s="66">
        <f ca="1">IF(B212="","", ROUND(C212 * (VLOOKUP(B212, '💳 Debt Input'!$A$4:$G$9, 3, FALSE) / 12), 2))</f>
        <v>6.03</v>
      </c>
      <c r="E212" s="66" cm="1">
        <f t="array" aca="1" ref="E212" ca="1">IF(B212="","", ROUND(MIN(C212+D212, MAX(VLOOKUP(B212,'💳 Debt Input'!$A$4:$G$9,4,FALSE), $F$3 - IFERROR(SUM(OFFSET(E212, -MOD(ROW()-6, 6), 0, MOD(ROW()-6, 6))), 0) - IFERROR(SUM(SUMIF('💳 Debt Input'!$A$4:$A$9, OFFSET(B212, 1, 0, 5-MOD(ROW()-6, 6)), '💳 Debt Input'!$D$4:$D$9)), 0))), 2))</f>
        <v>163.22999999999999</v>
      </c>
      <c r="F212" s="66">
        <f t="shared" ca="1" si="6"/>
        <v>566.45000000000005</v>
      </c>
      <c r="G212" s="28" t="str">
        <f t="shared" ca="1" si="7"/>
        <v>Active</v>
      </c>
      <c r="H212" s="28"/>
    </row>
    <row r="213" spans="1:8" ht="18" customHeight="1" x14ac:dyDescent="0.35">
      <c r="A213" s="49"/>
      <c r="B213" s="6" t="str">
        <v>Travel Card</v>
      </c>
      <c r="C213" s="63">
        <f ca="1"/>
        <v>3289.7</v>
      </c>
      <c r="D213" s="63">
        <f ca="1">IF(B213="","", ROUND(C213 * (VLOOKUP(B213, '💳 Debt Input'!$A$4:$G$9, 3, FALSE) / 12), 2))</f>
        <v>49.35</v>
      </c>
      <c r="E213" s="63" cm="1">
        <f t="array" aca="1" ref="E213" ca="1">IF(B213="","", ROUND(MIN(C213+D213, MAX(VLOOKUP(B213,'💳 Debt Input'!$A$4:$G$9,4,FALSE), $F$3 - IFERROR(SUM(OFFSET(E213, -MOD(ROW()-6, 6), 0, MOD(ROW()-6, 6))), 0) - IFERROR(SUM(SUMIF('💳 Debt Input'!$A$4:$A$9, OFFSET(B213, 1, 0, 5-MOD(ROW()-6, 6)), '💳 Debt Input'!$D$4:$D$9)), 0))), 2))</f>
        <v>270</v>
      </c>
      <c r="F213" s="63">
        <f t="shared" ca="1" si="6"/>
        <v>3069.05</v>
      </c>
      <c r="G213" s="22" t="str">
        <f t="shared" ca="1" si="7"/>
        <v>Active</v>
      </c>
      <c r="H213" s="22"/>
    </row>
    <row r="214" spans="1:8" ht="18" customHeight="1" x14ac:dyDescent="0.35">
      <c r="A214" s="49"/>
      <c r="B214" s="6" t="str">
        <v>Rewards Visa</v>
      </c>
      <c r="C214" s="63">
        <f ca="1"/>
        <v>16000</v>
      </c>
      <c r="D214" s="63">
        <f ca="1">IF(B214="","", ROUND(C214 * (VLOOKUP(B214, '💳 Debt Input'!$A$4:$G$9, 3, FALSE) / 12), 2))</f>
        <v>480</v>
      </c>
      <c r="E214" s="63" cm="1">
        <f t="array" aca="1" ref="E214" ca="1">IF(B214="","", ROUND(MIN(C214+D214, MAX(VLOOKUP(B214,'💳 Debt Input'!$A$4:$G$9,4,FALSE), $F$3 - IFERROR(SUM(OFFSET(E214, -MOD(ROW()-6, 6), 0, MOD(ROW()-6, 6))), 0) - IFERROR(SUM(SUMIF('💳 Debt Input'!$A$4:$A$9, OFFSET(B214, 1, 0, 5-MOD(ROW()-6, 6)), '💳 Debt Input'!$D$4:$D$9)), 0))), 2))</f>
        <v>480</v>
      </c>
      <c r="F214" s="63">
        <f t="shared" ca="1" si="6"/>
        <v>16000</v>
      </c>
      <c r="G214" s="22" t="str">
        <f t="shared" ca="1" si="7"/>
        <v>Active</v>
      </c>
      <c r="H214" s="22"/>
    </row>
    <row r="215" spans="1:8" ht="18" customHeight="1" x14ac:dyDescent="0.35">
      <c r="A215" s="51">
        <v>35</v>
      </c>
      <c r="B215" s="56" t="str" cm="1">
        <f t="array" ref="B215:B220">B209:B214</f>
        <v>Store Card</v>
      </c>
      <c r="C215" s="65" cm="1">
        <f t="array" aca="1" ref="C215:C220" ca="1">F209:F214</f>
        <v>0</v>
      </c>
      <c r="D215" s="65">
        <f ca="1">IF(B215="","", ROUND(C215 * (VLOOKUP(B215, '💳 Debt Input'!$A$4:$G$9, 3, FALSE) / 12), 2))</f>
        <v>0</v>
      </c>
      <c r="E215" s="65" cm="1">
        <f t="array" aca="1" ref="E215" ca="1">IF(B215="","", ROUND(MIN(C215+D215, MAX(VLOOKUP(B215,'💳 Debt Input'!$A$4:$G$9,4,FALSE), $F$3 - IFERROR(SUM(OFFSET(E215, -MOD(ROW()-6, 6), 0, MOD(ROW()-6, 6))), 0) - IFERROR(SUM(SUMIF('💳 Debt Input'!$A$4:$A$9, OFFSET(B215, 1, 0, 5-MOD(ROW()-6, 6)), '💳 Debt Input'!$D$4:$D$9)), 0))), 2))</f>
        <v>0</v>
      </c>
      <c r="F215" s="65">
        <f t="shared" ref="F215:F278" ca="1" si="8">ROUND(MAX(0,C215+D215-E215),2)</f>
        <v>0</v>
      </c>
      <c r="G215" s="25" t="str">
        <f t="shared" ref="G215:G278" ca="1" si="9">IF(F215=0,"Paid off","Active")</f>
        <v>Paid off</v>
      </c>
      <c r="H215" s="25"/>
    </row>
    <row r="216" spans="1:8" ht="18" customHeight="1" x14ac:dyDescent="0.35">
      <c r="A216" s="52"/>
      <c r="B216" s="26" t="str">
        <v>Medical Bill</v>
      </c>
      <c r="C216" s="66">
        <f ca="1"/>
        <v>0</v>
      </c>
      <c r="D216" s="66">
        <f ca="1">IF(B216="","", ROUND(C216 * (VLOOKUP(B216, '💳 Debt Input'!$A$4:$G$9, 3, FALSE) / 12), 2))</f>
        <v>0</v>
      </c>
      <c r="E216" s="66" cm="1">
        <f t="array" aca="1" ref="E216" ca="1">IF(B216="","", ROUND(MIN(C216+D216, MAX(VLOOKUP(B216,'💳 Debt Input'!$A$4:$G$9,4,FALSE), $F$3 - IFERROR(SUM(OFFSET(E216, -MOD(ROW()-6, 6), 0, MOD(ROW()-6, 6))), 0) - IFERROR(SUM(SUMIF('💳 Debt Input'!$A$4:$A$9, OFFSET(B216, 1, 0, 5-MOD(ROW()-6, 6)), '💳 Debt Input'!$D$4:$D$9)), 0))), 2))</f>
        <v>0</v>
      </c>
      <c r="F216" s="66">
        <f t="shared" ca="1" si="8"/>
        <v>0</v>
      </c>
      <c r="G216" s="28" t="str">
        <f t="shared" ca="1" si="9"/>
        <v>Paid off</v>
      </c>
      <c r="H216" s="28"/>
    </row>
    <row r="217" spans="1:8" ht="18" customHeight="1" x14ac:dyDescent="0.35">
      <c r="A217" s="52"/>
      <c r="B217" s="26" t="str">
        <v>Personal Loan</v>
      </c>
      <c r="C217" s="66">
        <f ca="1"/>
        <v>0</v>
      </c>
      <c r="D217" s="66">
        <f ca="1">IF(B217="","", ROUND(C217 * (VLOOKUP(B217, '💳 Debt Input'!$A$4:$G$9, 3, FALSE) / 12), 2))</f>
        <v>0</v>
      </c>
      <c r="E217" s="66" cm="1">
        <f t="array" aca="1" ref="E217" ca="1">IF(B217="","", ROUND(MIN(C217+D217, MAX(VLOOKUP(B217,'💳 Debt Input'!$A$4:$G$9,4,FALSE), $F$3 - IFERROR(SUM(OFFSET(E217, -MOD(ROW()-6, 6), 0, MOD(ROW()-6, 6))), 0) - IFERROR(SUM(SUMIF('💳 Debt Input'!$A$4:$A$9, OFFSET(B217, 1, 0, 5-MOD(ROW()-6, 6)), '💳 Debt Input'!$D$4:$D$9)), 0))), 2))</f>
        <v>0</v>
      </c>
      <c r="F217" s="66">
        <f t="shared" ca="1" si="8"/>
        <v>0</v>
      </c>
      <c r="G217" s="28" t="str">
        <f t="shared" ca="1" si="9"/>
        <v>Paid off</v>
      </c>
      <c r="H217" s="28"/>
    </row>
    <row r="218" spans="1:8" ht="18" customHeight="1" x14ac:dyDescent="0.35">
      <c r="A218" s="52"/>
      <c r="B218" s="26" t="str">
        <v>Auto Loan</v>
      </c>
      <c r="C218" s="66">
        <f ca="1"/>
        <v>566.45000000000005</v>
      </c>
      <c r="D218" s="66">
        <f ca="1">IF(B218="","", ROUND(C218 * (VLOOKUP(B218, '💳 Debt Input'!$A$4:$G$9, 3, FALSE) / 12), 2))</f>
        <v>4.72</v>
      </c>
      <c r="E218" s="66" cm="1">
        <f t="array" aca="1" ref="E218" ca="1">IF(B218="","", ROUND(MIN(C218+D218, MAX(VLOOKUP(B218,'💳 Debt Input'!$A$4:$G$9,4,FALSE), $F$3 - IFERROR(SUM(OFFSET(E218, -MOD(ROW()-6, 6), 0, MOD(ROW()-6, 6))), 0) - IFERROR(SUM(SUMIF('💳 Debt Input'!$A$4:$A$9, OFFSET(B218, 1, 0, 5-MOD(ROW()-6, 6)), '💳 Debt Input'!$D$4:$D$9)), 0))), 2))</f>
        <v>185</v>
      </c>
      <c r="F218" s="66">
        <f t="shared" ca="1" si="8"/>
        <v>386.17</v>
      </c>
      <c r="G218" s="28" t="str">
        <f t="shared" ca="1" si="9"/>
        <v>Active</v>
      </c>
      <c r="H218" s="28"/>
    </row>
    <row r="219" spans="1:8" ht="18" customHeight="1" x14ac:dyDescent="0.35">
      <c r="A219" s="47"/>
      <c r="B219" s="8" t="str">
        <v>Travel Card</v>
      </c>
      <c r="C219" s="61">
        <f ca="1"/>
        <v>3069.05</v>
      </c>
      <c r="D219" s="61">
        <f ca="1">IF(B219="","", ROUND(C219 * (VLOOKUP(B219, '💳 Debt Input'!$A$4:$G$9, 3, FALSE) / 12), 2))</f>
        <v>46.04</v>
      </c>
      <c r="E219" s="61" cm="1">
        <f t="array" aca="1" ref="E219" ca="1">IF(B219="","", ROUND(MIN(C219+D219, MAX(VLOOKUP(B219,'💳 Debt Input'!$A$4:$G$9,4,FALSE), $F$3 - IFERROR(SUM(OFFSET(E219, -MOD(ROW()-6, 6), 0, MOD(ROW()-6, 6))), 0) - IFERROR(SUM(SUMIF('💳 Debt Input'!$A$4:$A$9, OFFSET(B219, 1, 0, 5-MOD(ROW()-6, 6)), '💳 Debt Input'!$D$4:$D$9)), 0))), 2))</f>
        <v>270</v>
      </c>
      <c r="F219" s="61">
        <f t="shared" ca="1" si="8"/>
        <v>2845.09</v>
      </c>
      <c r="G219" s="19" t="str">
        <f t="shared" ca="1" si="9"/>
        <v>Active</v>
      </c>
      <c r="H219" s="19"/>
    </row>
    <row r="220" spans="1:8" ht="18" customHeight="1" x14ac:dyDescent="0.35">
      <c r="A220" s="47"/>
      <c r="B220" s="8" t="str">
        <v>Rewards Visa</v>
      </c>
      <c r="C220" s="61">
        <f ca="1"/>
        <v>16000</v>
      </c>
      <c r="D220" s="61">
        <f ca="1">IF(B220="","", ROUND(C220 * (VLOOKUP(B220, '💳 Debt Input'!$A$4:$G$9, 3, FALSE) / 12), 2))</f>
        <v>480</v>
      </c>
      <c r="E220" s="61" cm="1">
        <f t="array" aca="1" ref="E220" ca="1">IF(B220="","", ROUND(MIN(C220+D220, MAX(VLOOKUP(B220,'💳 Debt Input'!$A$4:$G$9,4,FALSE), $F$3 - IFERROR(SUM(OFFSET(E220, -MOD(ROW()-6, 6), 0, MOD(ROW()-6, 6))), 0) - IFERROR(SUM(SUMIF('💳 Debt Input'!$A$4:$A$9, OFFSET(B220, 1, 0, 5-MOD(ROW()-6, 6)), '💳 Debt Input'!$D$4:$D$9)), 0))), 2))</f>
        <v>480</v>
      </c>
      <c r="F220" s="61">
        <f t="shared" ca="1" si="8"/>
        <v>16000</v>
      </c>
      <c r="G220" s="19" t="str">
        <f t="shared" ca="1" si="9"/>
        <v>Active</v>
      </c>
      <c r="H220" s="19"/>
    </row>
    <row r="221" spans="1:8" ht="18" customHeight="1" x14ac:dyDescent="0.35">
      <c r="A221" s="51">
        <v>36</v>
      </c>
      <c r="B221" s="56" t="str" cm="1">
        <f t="array" ref="B221:B226">B215:B220</f>
        <v>Store Card</v>
      </c>
      <c r="C221" s="65" cm="1">
        <f t="array" aca="1" ref="C221:C226" ca="1">F215:F220</f>
        <v>0</v>
      </c>
      <c r="D221" s="65">
        <f ca="1">IF(B221="","", ROUND(C221 * (VLOOKUP(B221, '💳 Debt Input'!$A$4:$G$9, 3, FALSE) / 12), 2))</f>
        <v>0</v>
      </c>
      <c r="E221" s="65" cm="1">
        <f t="array" aca="1" ref="E221" ca="1">IF(B221="","", ROUND(MIN(C221+D221, MAX(VLOOKUP(B221,'💳 Debt Input'!$A$4:$G$9,4,FALSE), $F$3 - IFERROR(SUM(OFFSET(E221, -MOD(ROW()-6, 6), 0, MOD(ROW()-6, 6))), 0) - IFERROR(SUM(SUMIF('💳 Debt Input'!$A$4:$A$9, OFFSET(B221, 1, 0, 5-MOD(ROW()-6, 6)), '💳 Debt Input'!$D$4:$D$9)), 0))), 2))</f>
        <v>0</v>
      </c>
      <c r="F221" s="65">
        <f t="shared" ca="1" si="8"/>
        <v>0</v>
      </c>
      <c r="G221" s="25" t="str">
        <f t="shared" ca="1" si="9"/>
        <v>Paid off</v>
      </c>
      <c r="H221" s="25"/>
    </row>
    <row r="222" spans="1:8" ht="18" customHeight="1" x14ac:dyDescent="0.35">
      <c r="A222" s="52"/>
      <c r="B222" s="26" t="str">
        <v>Medical Bill</v>
      </c>
      <c r="C222" s="66">
        <f ca="1"/>
        <v>0</v>
      </c>
      <c r="D222" s="66">
        <f ca="1">IF(B222="","", ROUND(C222 * (VLOOKUP(B222, '💳 Debt Input'!$A$4:$G$9, 3, FALSE) / 12), 2))</f>
        <v>0</v>
      </c>
      <c r="E222" s="66" cm="1">
        <f t="array" aca="1" ref="E222" ca="1">IF(B222="","", ROUND(MIN(C222+D222, MAX(VLOOKUP(B222,'💳 Debt Input'!$A$4:$G$9,4,FALSE), $F$3 - IFERROR(SUM(OFFSET(E222, -MOD(ROW()-6, 6), 0, MOD(ROW()-6, 6))), 0) - IFERROR(SUM(SUMIF('💳 Debt Input'!$A$4:$A$9, OFFSET(B222, 1, 0, 5-MOD(ROW()-6, 6)), '💳 Debt Input'!$D$4:$D$9)), 0))), 2))</f>
        <v>0</v>
      </c>
      <c r="F222" s="66">
        <f t="shared" ca="1" si="8"/>
        <v>0</v>
      </c>
      <c r="G222" s="28" t="str">
        <f t="shared" ca="1" si="9"/>
        <v>Paid off</v>
      </c>
      <c r="H222" s="28"/>
    </row>
    <row r="223" spans="1:8" ht="18" customHeight="1" x14ac:dyDescent="0.35">
      <c r="A223" s="52"/>
      <c r="B223" s="26" t="str">
        <v>Personal Loan</v>
      </c>
      <c r="C223" s="66">
        <f ca="1"/>
        <v>0</v>
      </c>
      <c r="D223" s="66">
        <f ca="1">IF(B223="","", ROUND(C223 * (VLOOKUP(B223, '💳 Debt Input'!$A$4:$G$9, 3, FALSE) / 12), 2))</f>
        <v>0</v>
      </c>
      <c r="E223" s="66" cm="1">
        <f t="array" aca="1" ref="E223" ca="1">IF(B223="","", ROUND(MIN(C223+D223, MAX(VLOOKUP(B223,'💳 Debt Input'!$A$4:$G$9,4,FALSE), $F$3 - IFERROR(SUM(OFFSET(E223, -MOD(ROW()-6, 6), 0, MOD(ROW()-6, 6))), 0) - IFERROR(SUM(SUMIF('💳 Debt Input'!$A$4:$A$9, OFFSET(B223, 1, 0, 5-MOD(ROW()-6, 6)), '💳 Debt Input'!$D$4:$D$9)), 0))), 2))</f>
        <v>0</v>
      </c>
      <c r="F223" s="66">
        <f t="shared" ca="1" si="8"/>
        <v>0</v>
      </c>
      <c r="G223" s="28" t="str">
        <f t="shared" ca="1" si="9"/>
        <v>Paid off</v>
      </c>
      <c r="H223" s="28"/>
    </row>
    <row r="224" spans="1:8" ht="18" customHeight="1" x14ac:dyDescent="0.35">
      <c r="A224" s="52"/>
      <c r="B224" s="26" t="str">
        <v>Auto Loan</v>
      </c>
      <c r="C224" s="66">
        <f ca="1"/>
        <v>386.17</v>
      </c>
      <c r="D224" s="66">
        <f ca="1">IF(B224="","", ROUND(C224 * (VLOOKUP(B224, '💳 Debt Input'!$A$4:$G$9, 3, FALSE) / 12), 2))</f>
        <v>3.22</v>
      </c>
      <c r="E224" s="66" cm="1">
        <f t="array" aca="1" ref="E224" ca="1">IF(B224="","", ROUND(MIN(C224+D224, MAX(VLOOKUP(B224,'💳 Debt Input'!$A$4:$G$9,4,FALSE), $F$3 - IFERROR(SUM(OFFSET(E224, -MOD(ROW()-6, 6), 0, MOD(ROW()-6, 6))), 0) - IFERROR(SUM(SUMIF('💳 Debt Input'!$A$4:$A$9, OFFSET(B224, 1, 0, 5-MOD(ROW()-6, 6)), '💳 Debt Input'!$D$4:$D$9)), 0))), 2))</f>
        <v>185</v>
      </c>
      <c r="F224" s="66">
        <f t="shared" ca="1" si="8"/>
        <v>204.39</v>
      </c>
      <c r="G224" s="28" t="str">
        <f t="shared" ca="1" si="9"/>
        <v>Active</v>
      </c>
      <c r="H224" s="28"/>
    </row>
    <row r="225" spans="1:8" ht="18" customHeight="1" x14ac:dyDescent="0.35">
      <c r="A225" s="49"/>
      <c r="B225" s="6" t="str">
        <v>Travel Card</v>
      </c>
      <c r="C225" s="63">
        <f ca="1"/>
        <v>2845.09</v>
      </c>
      <c r="D225" s="63">
        <f ca="1">IF(B225="","", ROUND(C225 * (VLOOKUP(B225, '💳 Debt Input'!$A$4:$G$9, 3, FALSE) / 12), 2))</f>
        <v>42.68</v>
      </c>
      <c r="E225" s="63" cm="1">
        <f t="array" aca="1" ref="E225" ca="1">IF(B225="","", ROUND(MIN(C225+D225, MAX(VLOOKUP(B225,'💳 Debt Input'!$A$4:$G$9,4,FALSE), $F$3 - IFERROR(SUM(OFFSET(E225, -MOD(ROW()-6, 6), 0, MOD(ROW()-6, 6))), 0) - IFERROR(SUM(SUMIF('💳 Debt Input'!$A$4:$A$9, OFFSET(B225, 1, 0, 5-MOD(ROW()-6, 6)), '💳 Debt Input'!$D$4:$D$9)), 0))), 2))</f>
        <v>270</v>
      </c>
      <c r="F225" s="63">
        <f t="shared" ca="1" si="8"/>
        <v>2617.77</v>
      </c>
      <c r="G225" s="22" t="str">
        <f t="shared" ca="1" si="9"/>
        <v>Active</v>
      </c>
      <c r="H225" s="22"/>
    </row>
    <row r="226" spans="1:8" ht="18" customHeight="1" x14ac:dyDescent="0.35">
      <c r="A226" s="49"/>
      <c r="B226" s="6" t="str">
        <v>Rewards Visa</v>
      </c>
      <c r="C226" s="63">
        <f ca="1"/>
        <v>16000</v>
      </c>
      <c r="D226" s="63">
        <f ca="1">IF(B226="","", ROUND(C226 * (VLOOKUP(B226, '💳 Debt Input'!$A$4:$G$9, 3, FALSE) / 12), 2))</f>
        <v>480</v>
      </c>
      <c r="E226" s="63" cm="1">
        <f t="array" aca="1" ref="E226" ca="1">IF(B226="","", ROUND(MIN(C226+D226, MAX(VLOOKUP(B226,'💳 Debt Input'!$A$4:$G$9,4,FALSE), $F$3 - IFERROR(SUM(OFFSET(E226, -MOD(ROW()-6, 6), 0, MOD(ROW()-6, 6))), 0) - IFERROR(SUM(SUMIF('💳 Debt Input'!$A$4:$A$9, OFFSET(B226, 1, 0, 5-MOD(ROW()-6, 6)), '💳 Debt Input'!$D$4:$D$9)), 0))), 2))</f>
        <v>480</v>
      </c>
      <c r="F226" s="63">
        <f t="shared" ca="1" si="8"/>
        <v>16000</v>
      </c>
      <c r="G226" s="22" t="str">
        <f t="shared" ca="1" si="9"/>
        <v>Active</v>
      </c>
      <c r="H226" s="22"/>
    </row>
    <row r="227" spans="1:8" ht="18" customHeight="1" x14ac:dyDescent="0.35">
      <c r="A227" s="51">
        <v>37</v>
      </c>
      <c r="B227" s="56" t="str" cm="1">
        <f t="array" ref="B227:B232">B221:B226</f>
        <v>Store Card</v>
      </c>
      <c r="C227" s="65" cm="1">
        <f t="array" aca="1" ref="C227:C232" ca="1">F221:F226</f>
        <v>0</v>
      </c>
      <c r="D227" s="65">
        <f ca="1">IF(B227="","", ROUND(C227 * (VLOOKUP(B227, '💳 Debt Input'!$A$4:$G$9, 3, FALSE) / 12), 2))</f>
        <v>0</v>
      </c>
      <c r="E227" s="65" cm="1">
        <f t="array" aca="1" ref="E227" ca="1">IF(B227="","", ROUND(MIN(C227+D227, MAX(VLOOKUP(B227,'💳 Debt Input'!$A$4:$G$9,4,FALSE), $F$3 - IFERROR(SUM(OFFSET(E227, -MOD(ROW()-6, 6), 0, MOD(ROW()-6, 6))), 0) - IFERROR(SUM(SUMIF('💳 Debt Input'!$A$4:$A$9, OFFSET(B227, 1, 0, 5-MOD(ROW()-6, 6)), '💳 Debt Input'!$D$4:$D$9)), 0))), 2))</f>
        <v>0</v>
      </c>
      <c r="F227" s="65">
        <f t="shared" ca="1" si="8"/>
        <v>0</v>
      </c>
      <c r="G227" s="25" t="str">
        <f t="shared" ca="1" si="9"/>
        <v>Paid off</v>
      </c>
      <c r="H227" s="25"/>
    </row>
    <row r="228" spans="1:8" ht="18" customHeight="1" x14ac:dyDescent="0.35">
      <c r="A228" s="52"/>
      <c r="B228" s="26" t="str">
        <v>Medical Bill</v>
      </c>
      <c r="C228" s="66">
        <f ca="1"/>
        <v>0</v>
      </c>
      <c r="D228" s="66">
        <f ca="1">IF(B228="","", ROUND(C228 * (VLOOKUP(B228, '💳 Debt Input'!$A$4:$G$9, 3, FALSE) / 12), 2))</f>
        <v>0</v>
      </c>
      <c r="E228" s="66" cm="1">
        <f t="array" aca="1" ref="E228" ca="1">IF(B228="","", ROUND(MIN(C228+D228, MAX(VLOOKUP(B228,'💳 Debt Input'!$A$4:$G$9,4,FALSE), $F$3 - IFERROR(SUM(OFFSET(E228, -MOD(ROW()-6, 6), 0, MOD(ROW()-6, 6))), 0) - IFERROR(SUM(SUMIF('💳 Debt Input'!$A$4:$A$9, OFFSET(B228, 1, 0, 5-MOD(ROW()-6, 6)), '💳 Debt Input'!$D$4:$D$9)), 0))), 2))</f>
        <v>0</v>
      </c>
      <c r="F228" s="66">
        <f t="shared" ca="1" si="8"/>
        <v>0</v>
      </c>
      <c r="G228" s="28" t="str">
        <f t="shared" ca="1" si="9"/>
        <v>Paid off</v>
      </c>
      <c r="H228" s="28"/>
    </row>
    <row r="229" spans="1:8" ht="18" customHeight="1" x14ac:dyDescent="0.35">
      <c r="A229" s="52"/>
      <c r="B229" s="26" t="str">
        <v>Personal Loan</v>
      </c>
      <c r="C229" s="66">
        <f ca="1"/>
        <v>0</v>
      </c>
      <c r="D229" s="66">
        <f ca="1">IF(B229="","", ROUND(C229 * (VLOOKUP(B229, '💳 Debt Input'!$A$4:$G$9, 3, FALSE) / 12), 2))</f>
        <v>0</v>
      </c>
      <c r="E229" s="66" cm="1">
        <f t="array" aca="1" ref="E229" ca="1">IF(B229="","", ROUND(MIN(C229+D229, MAX(VLOOKUP(B229,'💳 Debt Input'!$A$4:$G$9,4,FALSE), $F$3 - IFERROR(SUM(OFFSET(E229, -MOD(ROW()-6, 6), 0, MOD(ROW()-6, 6))), 0) - IFERROR(SUM(SUMIF('💳 Debt Input'!$A$4:$A$9, OFFSET(B229, 1, 0, 5-MOD(ROW()-6, 6)), '💳 Debt Input'!$D$4:$D$9)), 0))), 2))</f>
        <v>0</v>
      </c>
      <c r="F229" s="66">
        <f t="shared" ca="1" si="8"/>
        <v>0</v>
      </c>
      <c r="G229" s="28" t="str">
        <f t="shared" ca="1" si="9"/>
        <v>Paid off</v>
      </c>
      <c r="H229" s="28"/>
    </row>
    <row r="230" spans="1:8" ht="18" customHeight="1" x14ac:dyDescent="0.35">
      <c r="A230" s="52"/>
      <c r="B230" s="26" t="str">
        <v>Auto Loan</v>
      </c>
      <c r="C230" s="66">
        <f ca="1"/>
        <v>204.39</v>
      </c>
      <c r="D230" s="66">
        <f ca="1">IF(B230="","", ROUND(C230 * (VLOOKUP(B230, '💳 Debt Input'!$A$4:$G$9, 3, FALSE) / 12), 2))</f>
        <v>1.7</v>
      </c>
      <c r="E230" s="66" cm="1">
        <f t="array" aca="1" ref="E230" ca="1">IF(B230="","", ROUND(MIN(C230+D230, MAX(VLOOKUP(B230,'💳 Debt Input'!$A$4:$G$9,4,FALSE), $F$3 - IFERROR(SUM(OFFSET(E230, -MOD(ROW()-6, 6), 0, MOD(ROW()-6, 6))), 0) - IFERROR(SUM(SUMIF('💳 Debt Input'!$A$4:$A$9, OFFSET(B230, 1, 0, 5-MOD(ROW()-6, 6)), '💳 Debt Input'!$D$4:$D$9)), 0))), 2))</f>
        <v>185</v>
      </c>
      <c r="F230" s="66">
        <f t="shared" ca="1" si="8"/>
        <v>21.09</v>
      </c>
      <c r="G230" s="28" t="str">
        <f t="shared" ca="1" si="9"/>
        <v>Active</v>
      </c>
      <c r="H230" s="28"/>
    </row>
    <row r="231" spans="1:8" ht="18" customHeight="1" x14ac:dyDescent="0.35">
      <c r="A231" s="47"/>
      <c r="B231" s="8" t="str">
        <v>Travel Card</v>
      </c>
      <c r="C231" s="61">
        <f ca="1"/>
        <v>2617.77</v>
      </c>
      <c r="D231" s="61">
        <f ca="1">IF(B231="","", ROUND(C231 * (VLOOKUP(B231, '💳 Debt Input'!$A$4:$G$9, 3, FALSE) / 12), 2))</f>
        <v>39.270000000000003</v>
      </c>
      <c r="E231" s="61" cm="1">
        <f t="array" aca="1" ref="E231" ca="1">IF(B231="","", ROUND(MIN(C231+D231, MAX(VLOOKUP(B231,'💳 Debt Input'!$A$4:$G$9,4,FALSE), $F$3 - IFERROR(SUM(OFFSET(E231, -MOD(ROW()-6, 6), 0, MOD(ROW()-6, 6))), 0) - IFERROR(SUM(SUMIF('💳 Debt Input'!$A$4:$A$9, OFFSET(B231, 1, 0, 5-MOD(ROW()-6, 6)), '💳 Debt Input'!$D$4:$D$9)), 0))), 2))</f>
        <v>270</v>
      </c>
      <c r="F231" s="61">
        <f t="shared" ca="1" si="8"/>
        <v>2387.04</v>
      </c>
      <c r="G231" s="19" t="str">
        <f t="shared" ca="1" si="9"/>
        <v>Active</v>
      </c>
      <c r="H231" s="19"/>
    </row>
    <row r="232" spans="1:8" ht="18" customHeight="1" x14ac:dyDescent="0.35">
      <c r="A232" s="47"/>
      <c r="B232" s="8" t="str">
        <v>Rewards Visa</v>
      </c>
      <c r="C232" s="61">
        <f ca="1"/>
        <v>16000</v>
      </c>
      <c r="D232" s="61">
        <f ca="1">IF(B232="","", ROUND(C232 * (VLOOKUP(B232, '💳 Debt Input'!$A$4:$G$9, 3, FALSE) / 12), 2))</f>
        <v>480</v>
      </c>
      <c r="E232" s="61" cm="1">
        <f t="array" aca="1" ref="E232" ca="1">IF(B232="","", ROUND(MIN(C232+D232, MAX(VLOOKUP(B232,'💳 Debt Input'!$A$4:$G$9,4,FALSE), $F$3 - IFERROR(SUM(OFFSET(E232, -MOD(ROW()-6, 6), 0, MOD(ROW()-6, 6))), 0) - IFERROR(SUM(SUMIF('💳 Debt Input'!$A$4:$A$9, OFFSET(B232, 1, 0, 5-MOD(ROW()-6, 6)), '💳 Debt Input'!$D$4:$D$9)), 0))), 2))</f>
        <v>480</v>
      </c>
      <c r="F232" s="61">
        <f t="shared" ca="1" si="8"/>
        <v>16000</v>
      </c>
      <c r="G232" s="19" t="str">
        <f t="shared" ca="1" si="9"/>
        <v>Active</v>
      </c>
      <c r="H232" s="19"/>
    </row>
    <row r="233" spans="1:8" ht="18" customHeight="1" x14ac:dyDescent="0.35">
      <c r="A233" s="51">
        <v>38</v>
      </c>
      <c r="B233" s="56" t="str" cm="1">
        <f t="array" ref="B233:B238">B227:B232</f>
        <v>Store Card</v>
      </c>
      <c r="C233" s="65" cm="1">
        <f t="array" aca="1" ref="C233:C238" ca="1">F227:F232</f>
        <v>0</v>
      </c>
      <c r="D233" s="65">
        <f ca="1">IF(B233="","", ROUND(C233 * (VLOOKUP(B233, '💳 Debt Input'!$A$4:$G$9, 3, FALSE) / 12), 2))</f>
        <v>0</v>
      </c>
      <c r="E233" s="65" cm="1">
        <f t="array" aca="1" ref="E233" ca="1">IF(B233="","", ROUND(MIN(C233+D233, MAX(VLOOKUP(B233,'💳 Debt Input'!$A$4:$G$9,4,FALSE), $F$3 - IFERROR(SUM(OFFSET(E233, -MOD(ROW()-6, 6), 0, MOD(ROW()-6, 6))), 0) - IFERROR(SUM(SUMIF('💳 Debt Input'!$A$4:$A$9, OFFSET(B233, 1, 0, 5-MOD(ROW()-6, 6)), '💳 Debt Input'!$D$4:$D$9)), 0))), 2))</f>
        <v>0</v>
      </c>
      <c r="F233" s="65">
        <f t="shared" ca="1" si="8"/>
        <v>0</v>
      </c>
      <c r="G233" s="25" t="str">
        <f t="shared" ca="1" si="9"/>
        <v>Paid off</v>
      </c>
      <c r="H233" s="25"/>
    </row>
    <row r="234" spans="1:8" ht="18" customHeight="1" x14ac:dyDescent="0.35">
      <c r="A234" s="52"/>
      <c r="B234" s="26" t="str">
        <v>Medical Bill</v>
      </c>
      <c r="C234" s="66">
        <f ca="1"/>
        <v>0</v>
      </c>
      <c r="D234" s="66">
        <f ca="1">IF(B234="","", ROUND(C234 * (VLOOKUP(B234, '💳 Debt Input'!$A$4:$G$9, 3, FALSE) / 12), 2))</f>
        <v>0</v>
      </c>
      <c r="E234" s="66" cm="1">
        <f t="array" aca="1" ref="E234" ca="1">IF(B234="","", ROUND(MIN(C234+D234, MAX(VLOOKUP(B234,'💳 Debt Input'!$A$4:$G$9,4,FALSE), $F$3 - IFERROR(SUM(OFFSET(E234, -MOD(ROW()-6, 6), 0, MOD(ROW()-6, 6))), 0) - IFERROR(SUM(SUMIF('💳 Debt Input'!$A$4:$A$9, OFFSET(B234, 1, 0, 5-MOD(ROW()-6, 6)), '💳 Debt Input'!$D$4:$D$9)), 0))), 2))</f>
        <v>0</v>
      </c>
      <c r="F234" s="66">
        <f t="shared" ca="1" si="8"/>
        <v>0</v>
      </c>
      <c r="G234" s="28" t="str">
        <f t="shared" ca="1" si="9"/>
        <v>Paid off</v>
      </c>
      <c r="H234" s="28"/>
    </row>
    <row r="235" spans="1:8" ht="18" customHeight="1" x14ac:dyDescent="0.35">
      <c r="A235" s="52"/>
      <c r="B235" s="26" t="str">
        <v>Personal Loan</v>
      </c>
      <c r="C235" s="66">
        <f ca="1"/>
        <v>0</v>
      </c>
      <c r="D235" s="66">
        <f ca="1">IF(B235="","", ROUND(C235 * (VLOOKUP(B235, '💳 Debt Input'!$A$4:$G$9, 3, FALSE) / 12), 2))</f>
        <v>0</v>
      </c>
      <c r="E235" s="66" cm="1">
        <f t="array" aca="1" ref="E235" ca="1">IF(B235="","", ROUND(MIN(C235+D235, MAX(VLOOKUP(B235,'💳 Debt Input'!$A$4:$G$9,4,FALSE), $F$3 - IFERROR(SUM(OFFSET(E235, -MOD(ROW()-6, 6), 0, MOD(ROW()-6, 6))), 0) - IFERROR(SUM(SUMIF('💳 Debt Input'!$A$4:$A$9, OFFSET(B235, 1, 0, 5-MOD(ROW()-6, 6)), '💳 Debt Input'!$D$4:$D$9)), 0))), 2))</f>
        <v>0</v>
      </c>
      <c r="F235" s="66">
        <f t="shared" ca="1" si="8"/>
        <v>0</v>
      </c>
      <c r="G235" s="28" t="str">
        <f t="shared" ca="1" si="9"/>
        <v>Paid off</v>
      </c>
      <c r="H235" s="28"/>
    </row>
    <row r="236" spans="1:8" ht="18" customHeight="1" x14ac:dyDescent="0.35">
      <c r="A236" s="52"/>
      <c r="B236" s="26" t="str">
        <v>Auto Loan</v>
      </c>
      <c r="C236" s="66">
        <f ca="1"/>
        <v>21.09</v>
      </c>
      <c r="D236" s="66">
        <f ca="1">IF(B236="","", ROUND(C236 * (VLOOKUP(B236, '💳 Debt Input'!$A$4:$G$9, 3, FALSE) / 12), 2))</f>
        <v>0.18</v>
      </c>
      <c r="E236" s="66" cm="1">
        <f t="array" aca="1" ref="E236" ca="1">IF(B236="","", ROUND(MIN(C236+D236, MAX(VLOOKUP(B236,'💳 Debt Input'!$A$4:$G$9,4,FALSE), $F$3 - IFERROR(SUM(OFFSET(E236, -MOD(ROW()-6, 6), 0, MOD(ROW()-6, 6))), 0) - IFERROR(SUM(SUMIF('💳 Debt Input'!$A$4:$A$9, OFFSET(B236, 1, 0, 5-MOD(ROW()-6, 6)), '💳 Debt Input'!$D$4:$D$9)), 0))), 2))</f>
        <v>21.27</v>
      </c>
      <c r="F236" s="66">
        <f t="shared" ca="1" si="8"/>
        <v>0</v>
      </c>
      <c r="G236" s="28" t="str">
        <f t="shared" ca="1" si="9"/>
        <v>Paid off</v>
      </c>
      <c r="H236" s="28"/>
    </row>
    <row r="237" spans="1:8" ht="18" customHeight="1" x14ac:dyDescent="0.35">
      <c r="A237" s="49"/>
      <c r="B237" s="6" t="str">
        <v>Travel Card</v>
      </c>
      <c r="C237" s="63">
        <f ca="1"/>
        <v>2387.04</v>
      </c>
      <c r="D237" s="63">
        <f ca="1">IF(B237="","", ROUND(C237 * (VLOOKUP(B237, '💳 Debt Input'!$A$4:$G$9, 3, FALSE) / 12), 2))</f>
        <v>35.81</v>
      </c>
      <c r="E237" s="63" cm="1">
        <f t="array" aca="1" ref="E237" ca="1">IF(B237="","", ROUND(MIN(C237+D237, MAX(VLOOKUP(B237,'💳 Debt Input'!$A$4:$G$9,4,FALSE), $F$3 - IFERROR(SUM(OFFSET(E237, -MOD(ROW()-6, 6), 0, MOD(ROW()-6, 6))), 0) - IFERROR(SUM(SUMIF('💳 Debt Input'!$A$4:$A$9, OFFSET(B237, 1, 0, 5-MOD(ROW()-6, 6)), '💳 Debt Input'!$D$4:$D$9)), 0))), 2))</f>
        <v>433.73</v>
      </c>
      <c r="F237" s="63">
        <f t="shared" ca="1" si="8"/>
        <v>1989.12</v>
      </c>
      <c r="G237" s="22" t="str">
        <f t="shared" ca="1" si="9"/>
        <v>Active</v>
      </c>
      <c r="H237" s="22"/>
    </row>
    <row r="238" spans="1:8" ht="18" customHeight="1" x14ac:dyDescent="0.35">
      <c r="A238" s="49"/>
      <c r="B238" s="6" t="str">
        <v>Rewards Visa</v>
      </c>
      <c r="C238" s="63">
        <f ca="1"/>
        <v>16000</v>
      </c>
      <c r="D238" s="63">
        <f ca="1">IF(B238="","", ROUND(C238 * (VLOOKUP(B238, '💳 Debt Input'!$A$4:$G$9, 3, FALSE) / 12), 2))</f>
        <v>480</v>
      </c>
      <c r="E238" s="63" cm="1">
        <f t="array" aca="1" ref="E238" ca="1">IF(B238="","", ROUND(MIN(C238+D238, MAX(VLOOKUP(B238,'💳 Debt Input'!$A$4:$G$9,4,FALSE), $F$3 - IFERROR(SUM(OFFSET(E238, -MOD(ROW()-6, 6), 0, MOD(ROW()-6, 6))), 0) - IFERROR(SUM(SUMIF('💳 Debt Input'!$A$4:$A$9, OFFSET(B238, 1, 0, 5-MOD(ROW()-6, 6)), '💳 Debt Input'!$D$4:$D$9)), 0))), 2))</f>
        <v>480</v>
      </c>
      <c r="F238" s="63">
        <f t="shared" ca="1" si="8"/>
        <v>16000</v>
      </c>
      <c r="G238" s="22" t="str">
        <f t="shared" ca="1" si="9"/>
        <v>Active</v>
      </c>
      <c r="H238" s="22"/>
    </row>
    <row r="239" spans="1:8" ht="18" customHeight="1" x14ac:dyDescent="0.35">
      <c r="A239" s="51">
        <v>39</v>
      </c>
      <c r="B239" s="56" t="str" cm="1">
        <f t="array" ref="B239:B244">B233:B238</f>
        <v>Store Card</v>
      </c>
      <c r="C239" s="65" cm="1">
        <f t="array" aca="1" ref="C239:C244" ca="1">F233:F238</f>
        <v>0</v>
      </c>
      <c r="D239" s="65">
        <f ca="1">IF(B239="","", ROUND(C239 * (VLOOKUP(B239, '💳 Debt Input'!$A$4:$G$9, 3, FALSE) / 12), 2))</f>
        <v>0</v>
      </c>
      <c r="E239" s="65" cm="1">
        <f t="array" aca="1" ref="E239" ca="1">IF(B239="","", ROUND(MIN(C239+D239, MAX(VLOOKUP(B239,'💳 Debt Input'!$A$4:$G$9,4,FALSE), $F$3 - IFERROR(SUM(OFFSET(E239, -MOD(ROW()-6, 6), 0, MOD(ROW()-6, 6))), 0) - IFERROR(SUM(SUMIF('💳 Debt Input'!$A$4:$A$9, OFFSET(B239, 1, 0, 5-MOD(ROW()-6, 6)), '💳 Debt Input'!$D$4:$D$9)), 0))), 2))</f>
        <v>0</v>
      </c>
      <c r="F239" s="65">
        <f t="shared" ca="1" si="8"/>
        <v>0</v>
      </c>
      <c r="G239" s="25" t="str">
        <f t="shared" ca="1" si="9"/>
        <v>Paid off</v>
      </c>
      <c r="H239" s="25"/>
    </row>
    <row r="240" spans="1:8" ht="18" customHeight="1" x14ac:dyDescent="0.35">
      <c r="A240" s="52"/>
      <c r="B240" s="26" t="str">
        <v>Medical Bill</v>
      </c>
      <c r="C240" s="66">
        <f ca="1"/>
        <v>0</v>
      </c>
      <c r="D240" s="66">
        <f ca="1">IF(B240="","", ROUND(C240 * (VLOOKUP(B240, '💳 Debt Input'!$A$4:$G$9, 3, FALSE) / 12), 2))</f>
        <v>0</v>
      </c>
      <c r="E240" s="66" cm="1">
        <f t="array" aca="1" ref="E240" ca="1">IF(B240="","", ROUND(MIN(C240+D240, MAX(VLOOKUP(B240,'💳 Debt Input'!$A$4:$G$9,4,FALSE), $F$3 - IFERROR(SUM(OFFSET(E240, -MOD(ROW()-6, 6), 0, MOD(ROW()-6, 6))), 0) - IFERROR(SUM(SUMIF('💳 Debt Input'!$A$4:$A$9, OFFSET(B240, 1, 0, 5-MOD(ROW()-6, 6)), '💳 Debt Input'!$D$4:$D$9)), 0))), 2))</f>
        <v>0</v>
      </c>
      <c r="F240" s="66">
        <f t="shared" ca="1" si="8"/>
        <v>0</v>
      </c>
      <c r="G240" s="28" t="str">
        <f t="shared" ca="1" si="9"/>
        <v>Paid off</v>
      </c>
      <c r="H240" s="28"/>
    </row>
    <row r="241" spans="1:8" ht="18" customHeight="1" x14ac:dyDescent="0.35">
      <c r="A241" s="52"/>
      <c r="B241" s="26" t="str">
        <v>Personal Loan</v>
      </c>
      <c r="C241" s="66">
        <f ca="1"/>
        <v>0</v>
      </c>
      <c r="D241" s="66">
        <f ca="1">IF(B241="","", ROUND(C241 * (VLOOKUP(B241, '💳 Debt Input'!$A$4:$G$9, 3, FALSE) / 12), 2))</f>
        <v>0</v>
      </c>
      <c r="E241" s="66" cm="1">
        <f t="array" aca="1" ref="E241" ca="1">IF(B241="","", ROUND(MIN(C241+D241, MAX(VLOOKUP(B241,'💳 Debt Input'!$A$4:$G$9,4,FALSE), $F$3 - IFERROR(SUM(OFFSET(E241, -MOD(ROW()-6, 6), 0, MOD(ROW()-6, 6))), 0) - IFERROR(SUM(SUMIF('💳 Debt Input'!$A$4:$A$9, OFFSET(B241, 1, 0, 5-MOD(ROW()-6, 6)), '💳 Debt Input'!$D$4:$D$9)), 0))), 2))</f>
        <v>0</v>
      </c>
      <c r="F241" s="66">
        <f t="shared" ca="1" si="8"/>
        <v>0</v>
      </c>
      <c r="G241" s="28" t="str">
        <f t="shared" ca="1" si="9"/>
        <v>Paid off</v>
      </c>
      <c r="H241" s="28"/>
    </row>
    <row r="242" spans="1:8" ht="18" customHeight="1" x14ac:dyDescent="0.35">
      <c r="A242" s="52"/>
      <c r="B242" s="26" t="str">
        <v>Auto Loan</v>
      </c>
      <c r="C242" s="66">
        <f ca="1"/>
        <v>0</v>
      </c>
      <c r="D242" s="66">
        <f ca="1">IF(B242="","", ROUND(C242 * (VLOOKUP(B242, '💳 Debt Input'!$A$4:$G$9, 3, FALSE) / 12), 2))</f>
        <v>0</v>
      </c>
      <c r="E242" s="66" cm="1">
        <f t="array" aca="1" ref="E242" ca="1">IF(B242="","", ROUND(MIN(C242+D242, MAX(VLOOKUP(B242,'💳 Debt Input'!$A$4:$G$9,4,FALSE), $F$3 - IFERROR(SUM(OFFSET(E242, -MOD(ROW()-6, 6), 0, MOD(ROW()-6, 6))), 0) - IFERROR(SUM(SUMIF('💳 Debt Input'!$A$4:$A$9, OFFSET(B242, 1, 0, 5-MOD(ROW()-6, 6)), '💳 Debt Input'!$D$4:$D$9)), 0))), 2))</f>
        <v>0</v>
      </c>
      <c r="F242" s="66">
        <f t="shared" ca="1" si="8"/>
        <v>0</v>
      </c>
      <c r="G242" s="28" t="str">
        <f t="shared" ca="1" si="9"/>
        <v>Paid off</v>
      </c>
      <c r="H242" s="28"/>
    </row>
    <row r="243" spans="1:8" ht="18" customHeight="1" x14ac:dyDescent="0.35">
      <c r="A243" s="47"/>
      <c r="B243" s="8" t="str">
        <v>Travel Card</v>
      </c>
      <c r="C243" s="61">
        <f ca="1"/>
        <v>1989.12</v>
      </c>
      <c r="D243" s="61">
        <f ca="1">IF(B243="","", ROUND(C243 * (VLOOKUP(B243, '💳 Debt Input'!$A$4:$G$9, 3, FALSE) / 12), 2))</f>
        <v>29.84</v>
      </c>
      <c r="E243" s="61" cm="1">
        <f t="array" aca="1" ref="E243" ca="1">IF(B243="","", ROUND(MIN(C243+D243, MAX(VLOOKUP(B243,'💳 Debt Input'!$A$4:$G$9,4,FALSE), $F$3 - IFERROR(SUM(OFFSET(E243, -MOD(ROW()-6, 6), 0, MOD(ROW()-6, 6))), 0) - IFERROR(SUM(SUMIF('💳 Debt Input'!$A$4:$A$9, OFFSET(B243, 1, 0, 5-MOD(ROW()-6, 6)), '💳 Debt Input'!$D$4:$D$9)), 0))), 2))</f>
        <v>455</v>
      </c>
      <c r="F243" s="61">
        <f t="shared" ca="1" si="8"/>
        <v>1563.96</v>
      </c>
      <c r="G243" s="19" t="str">
        <f t="shared" ca="1" si="9"/>
        <v>Active</v>
      </c>
      <c r="H243" s="19"/>
    </row>
    <row r="244" spans="1:8" ht="18" customHeight="1" x14ac:dyDescent="0.35">
      <c r="A244" s="47"/>
      <c r="B244" s="8" t="str">
        <v>Rewards Visa</v>
      </c>
      <c r="C244" s="61">
        <f ca="1"/>
        <v>16000</v>
      </c>
      <c r="D244" s="61">
        <f ca="1">IF(B244="","", ROUND(C244 * (VLOOKUP(B244, '💳 Debt Input'!$A$4:$G$9, 3, FALSE) / 12), 2))</f>
        <v>480</v>
      </c>
      <c r="E244" s="61" cm="1">
        <f t="array" aca="1" ref="E244" ca="1">IF(B244="","", ROUND(MIN(C244+D244, MAX(VLOOKUP(B244,'💳 Debt Input'!$A$4:$G$9,4,FALSE), $F$3 - IFERROR(SUM(OFFSET(E244, -MOD(ROW()-6, 6), 0, MOD(ROW()-6, 6))), 0) - IFERROR(SUM(SUMIF('💳 Debt Input'!$A$4:$A$9, OFFSET(B244, 1, 0, 5-MOD(ROW()-6, 6)), '💳 Debt Input'!$D$4:$D$9)), 0))), 2))</f>
        <v>480</v>
      </c>
      <c r="F244" s="61">
        <f t="shared" ca="1" si="8"/>
        <v>16000</v>
      </c>
      <c r="G244" s="19" t="str">
        <f t="shared" ca="1" si="9"/>
        <v>Active</v>
      </c>
      <c r="H244" s="19"/>
    </row>
    <row r="245" spans="1:8" ht="18" customHeight="1" x14ac:dyDescent="0.35">
      <c r="A245" s="51">
        <v>40</v>
      </c>
      <c r="B245" s="56" t="str" cm="1">
        <f t="array" ref="B245:B250">B239:B244</f>
        <v>Store Card</v>
      </c>
      <c r="C245" s="65" cm="1">
        <f t="array" aca="1" ref="C245:C250" ca="1">F239:F244</f>
        <v>0</v>
      </c>
      <c r="D245" s="65">
        <f ca="1">IF(B245="","", ROUND(C245 * (VLOOKUP(B245, '💳 Debt Input'!$A$4:$G$9, 3, FALSE) / 12), 2))</f>
        <v>0</v>
      </c>
      <c r="E245" s="65" cm="1">
        <f t="array" aca="1" ref="E245" ca="1">IF(B245="","", ROUND(MIN(C245+D245, MAX(VLOOKUP(B245,'💳 Debt Input'!$A$4:$G$9,4,FALSE), $F$3 - IFERROR(SUM(OFFSET(E245, -MOD(ROW()-6, 6), 0, MOD(ROW()-6, 6))), 0) - IFERROR(SUM(SUMIF('💳 Debt Input'!$A$4:$A$9, OFFSET(B245, 1, 0, 5-MOD(ROW()-6, 6)), '💳 Debt Input'!$D$4:$D$9)), 0))), 2))</f>
        <v>0</v>
      </c>
      <c r="F245" s="65">
        <f t="shared" ca="1" si="8"/>
        <v>0</v>
      </c>
      <c r="G245" s="25" t="str">
        <f t="shared" ca="1" si="9"/>
        <v>Paid off</v>
      </c>
      <c r="H245" s="25"/>
    </row>
    <row r="246" spans="1:8" ht="18" customHeight="1" x14ac:dyDescent="0.35">
      <c r="A246" s="52"/>
      <c r="B246" s="26" t="str">
        <v>Medical Bill</v>
      </c>
      <c r="C246" s="66">
        <f ca="1"/>
        <v>0</v>
      </c>
      <c r="D246" s="66">
        <f ca="1">IF(B246="","", ROUND(C246 * (VLOOKUP(B246, '💳 Debt Input'!$A$4:$G$9, 3, FALSE) / 12), 2))</f>
        <v>0</v>
      </c>
      <c r="E246" s="66" cm="1">
        <f t="array" aca="1" ref="E246" ca="1">IF(B246="","", ROUND(MIN(C246+D246, MAX(VLOOKUP(B246,'💳 Debt Input'!$A$4:$G$9,4,FALSE), $F$3 - IFERROR(SUM(OFFSET(E246, -MOD(ROW()-6, 6), 0, MOD(ROW()-6, 6))), 0) - IFERROR(SUM(SUMIF('💳 Debt Input'!$A$4:$A$9, OFFSET(B246, 1, 0, 5-MOD(ROW()-6, 6)), '💳 Debt Input'!$D$4:$D$9)), 0))), 2))</f>
        <v>0</v>
      </c>
      <c r="F246" s="66">
        <f t="shared" ca="1" si="8"/>
        <v>0</v>
      </c>
      <c r="G246" s="28" t="str">
        <f t="shared" ca="1" si="9"/>
        <v>Paid off</v>
      </c>
      <c r="H246" s="28"/>
    </row>
    <row r="247" spans="1:8" ht="18" customHeight="1" x14ac:dyDescent="0.35">
      <c r="A247" s="52"/>
      <c r="B247" s="26" t="str">
        <v>Personal Loan</v>
      </c>
      <c r="C247" s="66">
        <f ca="1"/>
        <v>0</v>
      </c>
      <c r="D247" s="66">
        <f ca="1">IF(B247="","", ROUND(C247 * (VLOOKUP(B247, '💳 Debt Input'!$A$4:$G$9, 3, FALSE) / 12), 2))</f>
        <v>0</v>
      </c>
      <c r="E247" s="66" cm="1">
        <f t="array" aca="1" ref="E247" ca="1">IF(B247="","", ROUND(MIN(C247+D247, MAX(VLOOKUP(B247,'💳 Debt Input'!$A$4:$G$9,4,FALSE), $F$3 - IFERROR(SUM(OFFSET(E247, -MOD(ROW()-6, 6), 0, MOD(ROW()-6, 6))), 0) - IFERROR(SUM(SUMIF('💳 Debt Input'!$A$4:$A$9, OFFSET(B247, 1, 0, 5-MOD(ROW()-6, 6)), '💳 Debt Input'!$D$4:$D$9)), 0))), 2))</f>
        <v>0</v>
      </c>
      <c r="F247" s="66">
        <f t="shared" ca="1" si="8"/>
        <v>0</v>
      </c>
      <c r="G247" s="28" t="str">
        <f t="shared" ca="1" si="9"/>
        <v>Paid off</v>
      </c>
      <c r="H247" s="28"/>
    </row>
    <row r="248" spans="1:8" ht="18" customHeight="1" x14ac:dyDescent="0.35">
      <c r="A248" s="52"/>
      <c r="B248" s="26" t="str">
        <v>Auto Loan</v>
      </c>
      <c r="C248" s="66">
        <f ca="1"/>
        <v>0</v>
      </c>
      <c r="D248" s="66">
        <f ca="1">IF(B248="","", ROUND(C248 * (VLOOKUP(B248, '💳 Debt Input'!$A$4:$G$9, 3, FALSE) / 12), 2))</f>
        <v>0</v>
      </c>
      <c r="E248" s="66" cm="1">
        <f t="array" aca="1" ref="E248" ca="1">IF(B248="","", ROUND(MIN(C248+D248, MAX(VLOOKUP(B248,'💳 Debt Input'!$A$4:$G$9,4,FALSE), $F$3 - IFERROR(SUM(OFFSET(E248, -MOD(ROW()-6, 6), 0, MOD(ROW()-6, 6))), 0) - IFERROR(SUM(SUMIF('💳 Debt Input'!$A$4:$A$9, OFFSET(B248, 1, 0, 5-MOD(ROW()-6, 6)), '💳 Debt Input'!$D$4:$D$9)), 0))), 2))</f>
        <v>0</v>
      </c>
      <c r="F248" s="66">
        <f t="shared" ca="1" si="8"/>
        <v>0</v>
      </c>
      <c r="G248" s="28" t="str">
        <f t="shared" ca="1" si="9"/>
        <v>Paid off</v>
      </c>
      <c r="H248" s="28"/>
    </row>
    <row r="249" spans="1:8" ht="18" customHeight="1" x14ac:dyDescent="0.35">
      <c r="A249" s="49"/>
      <c r="B249" s="6" t="str">
        <v>Travel Card</v>
      </c>
      <c r="C249" s="63">
        <f ca="1"/>
        <v>1563.96</v>
      </c>
      <c r="D249" s="63">
        <f ca="1">IF(B249="","", ROUND(C249 * (VLOOKUP(B249, '💳 Debt Input'!$A$4:$G$9, 3, FALSE) / 12), 2))</f>
        <v>23.46</v>
      </c>
      <c r="E249" s="63" cm="1">
        <f t="array" aca="1" ref="E249" ca="1">IF(B249="","", ROUND(MIN(C249+D249, MAX(VLOOKUP(B249,'💳 Debt Input'!$A$4:$G$9,4,FALSE), $F$3 - IFERROR(SUM(OFFSET(E249, -MOD(ROW()-6, 6), 0, MOD(ROW()-6, 6))), 0) - IFERROR(SUM(SUMIF('💳 Debt Input'!$A$4:$A$9, OFFSET(B249, 1, 0, 5-MOD(ROW()-6, 6)), '💳 Debt Input'!$D$4:$D$9)), 0))), 2))</f>
        <v>455</v>
      </c>
      <c r="F249" s="63">
        <f t="shared" ca="1" si="8"/>
        <v>1132.42</v>
      </c>
      <c r="G249" s="22" t="str">
        <f t="shared" ca="1" si="9"/>
        <v>Active</v>
      </c>
      <c r="H249" s="22"/>
    </row>
    <row r="250" spans="1:8" ht="18" customHeight="1" x14ac:dyDescent="0.35">
      <c r="A250" s="49"/>
      <c r="B250" s="6" t="str">
        <v>Rewards Visa</v>
      </c>
      <c r="C250" s="63">
        <f ca="1"/>
        <v>16000</v>
      </c>
      <c r="D250" s="63">
        <f ca="1">IF(B250="","", ROUND(C250 * (VLOOKUP(B250, '💳 Debt Input'!$A$4:$G$9, 3, FALSE) / 12), 2))</f>
        <v>480</v>
      </c>
      <c r="E250" s="63" cm="1">
        <f t="array" aca="1" ref="E250" ca="1">IF(B250="","", ROUND(MIN(C250+D250, MAX(VLOOKUP(B250,'💳 Debt Input'!$A$4:$G$9,4,FALSE), $F$3 - IFERROR(SUM(OFFSET(E250, -MOD(ROW()-6, 6), 0, MOD(ROW()-6, 6))), 0) - IFERROR(SUM(SUMIF('💳 Debt Input'!$A$4:$A$9, OFFSET(B250, 1, 0, 5-MOD(ROW()-6, 6)), '💳 Debt Input'!$D$4:$D$9)), 0))), 2))</f>
        <v>480</v>
      </c>
      <c r="F250" s="63">
        <f t="shared" ca="1" si="8"/>
        <v>16000</v>
      </c>
      <c r="G250" s="22" t="str">
        <f t="shared" ca="1" si="9"/>
        <v>Active</v>
      </c>
      <c r="H250" s="22"/>
    </row>
    <row r="251" spans="1:8" ht="18" customHeight="1" x14ac:dyDescent="0.35">
      <c r="A251" s="51">
        <v>41</v>
      </c>
      <c r="B251" s="56" t="str" cm="1">
        <f t="array" ref="B251:B256">B245:B250</f>
        <v>Store Card</v>
      </c>
      <c r="C251" s="65" cm="1">
        <f t="array" aca="1" ref="C251:C256" ca="1">F245:F250</f>
        <v>0</v>
      </c>
      <c r="D251" s="65">
        <f ca="1">IF(B251="","", ROUND(C251 * (VLOOKUP(B251, '💳 Debt Input'!$A$4:$G$9, 3, FALSE) / 12), 2))</f>
        <v>0</v>
      </c>
      <c r="E251" s="65" cm="1">
        <f t="array" aca="1" ref="E251" ca="1">IF(B251="","", ROUND(MIN(C251+D251, MAX(VLOOKUP(B251,'💳 Debt Input'!$A$4:$G$9,4,FALSE), $F$3 - IFERROR(SUM(OFFSET(E251, -MOD(ROW()-6, 6), 0, MOD(ROW()-6, 6))), 0) - IFERROR(SUM(SUMIF('💳 Debt Input'!$A$4:$A$9, OFFSET(B251, 1, 0, 5-MOD(ROW()-6, 6)), '💳 Debt Input'!$D$4:$D$9)), 0))), 2))</f>
        <v>0</v>
      </c>
      <c r="F251" s="65">
        <f t="shared" ca="1" si="8"/>
        <v>0</v>
      </c>
      <c r="G251" s="25" t="str">
        <f t="shared" ca="1" si="9"/>
        <v>Paid off</v>
      </c>
      <c r="H251" s="25"/>
    </row>
    <row r="252" spans="1:8" ht="18" customHeight="1" x14ac:dyDescent="0.35">
      <c r="A252" s="52"/>
      <c r="B252" s="26" t="str">
        <v>Medical Bill</v>
      </c>
      <c r="C252" s="66">
        <f ca="1"/>
        <v>0</v>
      </c>
      <c r="D252" s="66">
        <f ca="1">IF(B252="","", ROUND(C252 * (VLOOKUP(B252, '💳 Debt Input'!$A$4:$G$9, 3, FALSE) / 12), 2))</f>
        <v>0</v>
      </c>
      <c r="E252" s="66" cm="1">
        <f t="array" aca="1" ref="E252" ca="1">IF(B252="","", ROUND(MIN(C252+D252, MAX(VLOOKUP(B252,'💳 Debt Input'!$A$4:$G$9,4,FALSE), $F$3 - IFERROR(SUM(OFFSET(E252, -MOD(ROW()-6, 6), 0, MOD(ROW()-6, 6))), 0) - IFERROR(SUM(SUMIF('💳 Debt Input'!$A$4:$A$9, OFFSET(B252, 1, 0, 5-MOD(ROW()-6, 6)), '💳 Debt Input'!$D$4:$D$9)), 0))), 2))</f>
        <v>0</v>
      </c>
      <c r="F252" s="66">
        <f t="shared" ca="1" si="8"/>
        <v>0</v>
      </c>
      <c r="G252" s="28" t="str">
        <f t="shared" ca="1" si="9"/>
        <v>Paid off</v>
      </c>
      <c r="H252" s="28"/>
    </row>
    <row r="253" spans="1:8" ht="18" customHeight="1" x14ac:dyDescent="0.35">
      <c r="A253" s="52"/>
      <c r="B253" s="26" t="str">
        <v>Personal Loan</v>
      </c>
      <c r="C253" s="66">
        <f ca="1"/>
        <v>0</v>
      </c>
      <c r="D253" s="66">
        <f ca="1">IF(B253="","", ROUND(C253 * (VLOOKUP(B253, '💳 Debt Input'!$A$4:$G$9, 3, FALSE) / 12), 2))</f>
        <v>0</v>
      </c>
      <c r="E253" s="66" cm="1">
        <f t="array" aca="1" ref="E253" ca="1">IF(B253="","", ROUND(MIN(C253+D253, MAX(VLOOKUP(B253,'💳 Debt Input'!$A$4:$G$9,4,FALSE), $F$3 - IFERROR(SUM(OFFSET(E253, -MOD(ROW()-6, 6), 0, MOD(ROW()-6, 6))), 0) - IFERROR(SUM(SUMIF('💳 Debt Input'!$A$4:$A$9, OFFSET(B253, 1, 0, 5-MOD(ROW()-6, 6)), '💳 Debt Input'!$D$4:$D$9)), 0))), 2))</f>
        <v>0</v>
      </c>
      <c r="F253" s="66">
        <f t="shared" ca="1" si="8"/>
        <v>0</v>
      </c>
      <c r="G253" s="28" t="str">
        <f t="shared" ca="1" si="9"/>
        <v>Paid off</v>
      </c>
      <c r="H253" s="28"/>
    </row>
    <row r="254" spans="1:8" ht="18" customHeight="1" x14ac:dyDescent="0.35">
      <c r="A254" s="52"/>
      <c r="B254" s="26" t="str">
        <v>Auto Loan</v>
      </c>
      <c r="C254" s="66">
        <f ca="1"/>
        <v>0</v>
      </c>
      <c r="D254" s="66">
        <f ca="1">IF(B254="","", ROUND(C254 * (VLOOKUP(B254, '💳 Debt Input'!$A$4:$G$9, 3, FALSE) / 12), 2))</f>
        <v>0</v>
      </c>
      <c r="E254" s="66" cm="1">
        <f t="array" aca="1" ref="E254" ca="1">IF(B254="","", ROUND(MIN(C254+D254, MAX(VLOOKUP(B254,'💳 Debt Input'!$A$4:$G$9,4,FALSE), $F$3 - IFERROR(SUM(OFFSET(E254, -MOD(ROW()-6, 6), 0, MOD(ROW()-6, 6))), 0) - IFERROR(SUM(SUMIF('💳 Debt Input'!$A$4:$A$9, OFFSET(B254, 1, 0, 5-MOD(ROW()-6, 6)), '💳 Debt Input'!$D$4:$D$9)), 0))), 2))</f>
        <v>0</v>
      </c>
      <c r="F254" s="66">
        <f t="shared" ca="1" si="8"/>
        <v>0</v>
      </c>
      <c r="G254" s="28" t="str">
        <f t="shared" ca="1" si="9"/>
        <v>Paid off</v>
      </c>
      <c r="H254" s="28"/>
    </row>
    <row r="255" spans="1:8" ht="18" customHeight="1" x14ac:dyDescent="0.35">
      <c r="A255" s="52"/>
      <c r="B255" s="26" t="str">
        <v>Travel Card</v>
      </c>
      <c r="C255" s="66">
        <f ca="1"/>
        <v>1132.42</v>
      </c>
      <c r="D255" s="66">
        <f ca="1">IF(B255="","", ROUND(C255 * (VLOOKUP(B255, '💳 Debt Input'!$A$4:$G$9, 3, FALSE) / 12), 2))</f>
        <v>16.989999999999998</v>
      </c>
      <c r="E255" s="66" cm="1">
        <f t="array" aca="1" ref="E255" ca="1">IF(B255="","", ROUND(MIN(C255+D255, MAX(VLOOKUP(B255,'💳 Debt Input'!$A$4:$G$9,4,FALSE), $F$3 - IFERROR(SUM(OFFSET(E255, -MOD(ROW()-6, 6), 0, MOD(ROW()-6, 6))), 0) - IFERROR(SUM(SUMIF('💳 Debt Input'!$A$4:$A$9, OFFSET(B255, 1, 0, 5-MOD(ROW()-6, 6)), '💳 Debt Input'!$D$4:$D$9)), 0))), 2))</f>
        <v>455</v>
      </c>
      <c r="F255" s="66">
        <f t="shared" ca="1" si="8"/>
        <v>694.41</v>
      </c>
      <c r="G255" s="28" t="str">
        <f t="shared" ca="1" si="9"/>
        <v>Active</v>
      </c>
      <c r="H255" s="28"/>
    </row>
    <row r="256" spans="1:8" ht="18" customHeight="1" x14ac:dyDescent="0.35">
      <c r="A256" s="47"/>
      <c r="B256" s="8" t="str">
        <v>Rewards Visa</v>
      </c>
      <c r="C256" s="61">
        <f ca="1"/>
        <v>16000</v>
      </c>
      <c r="D256" s="61">
        <f ca="1">IF(B256="","", ROUND(C256 * (VLOOKUP(B256, '💳 Debt Input'!$A$4:$G$9, 3, FALSE) / 12), 2))</f>
        <v>480</v>
      </c>
      <c r="E256" s="61" cm="1">
        <f t="array" aca="1" ref="E256" ca="1">IF(B256="","", ROUND(MIN(C256+D256, MAX(VLOOKUP(B256,'💳 Debt Input'!$A$4:$G$9,4,FALSE), $F$3 - IFERROR(SUM(OFFSET(E256, -MOD(ROW()-6, 6), 0, MOD(ROW()-6, 6))), 0) - IFERROR(SUM(SUMIF('💳 Debt Input'!$A$4:$A$9, OFFSET(B256, 1, 0, 5-MOD(ROW()-6, 6)), '💳 Debt Input'!$D$4:$D$9)), 0))), 2))</f>
        <v>480</v>
      </c>
      <c r="F256" s="61">
        <f t="shared" ca="1" si="8"/>
        <v>16000</v>
      </c>
      <c r="G256" s="19" t="str">
        <f t="shared" ca="1" si="9"/>
        <v>Active</v>
      </c>
      <c r="H256" s="19"/>
    </row>
    <row r="257" spans="1:8" ht="18" customHeight="1" x14ac:dyDescent="0.35">
      <c r="A257" s="51">
        <v>42</v>
      </c>
      <c r="B257" s="56" t="str" cm="1">
        <f t="array" ref="B257:B262">B251:B256</f>
        <v>Store Card</v>
      </c>
      <c r="C257" s="65" cm="1">
        <f t="array" aca="1" ref="C257:C262" ca="1">F251:F256</f>
        <v>0</v>
      </c>
      <c r="D257" s="65">
        <f ca="1">IF(B257="","", ROUND(C257 * (VLOOKUP(B257, '💳 Debt Input'!$A$4:$G$9, 3, FALSE) / 12), 2))</f>
        <v>0</v>
      </c>
      <c r="E257" s="65" cm="1">
        <f t="array" aca="1" ref="E257" ca="1">IF(B257="","", ROUND(MIN(C257+D257, MAX(VLOOKUP(B257,'💳 Debt Input'!$A$4:$G$9,4,FALSE), $F$3 - IFERROR(SUM(OFFSET(E257, -MOD(ROW()-6, 6), 0, MOD(ROW()-6, 6))), 0) - IFERROR(SUM(SUMIF('💳 Debt Input'!$A$4:$A$9, OFFSET(B257, 1, 0, 5-MOD(ROW()-6, 6)), '💳 Debt Input'!$D$4:$D$9)), 0))), 2))</f>
        <v>0</v>
      </c>
      <c r="F257" s="65">
        <f t="shared" ca="1" si="8"/>
        <v>0</v>
      </c>
      <c r="G257" s="25" t="str">
        <f t="shared" ca="1" si="9"/>
        <v>Paid off</v>
      </c>
      <c r="H257" s="25"/>
    </row>
    <row r="258" spans="1:8" ht="18" customHeight="1" x14ac:dyDescent="0.35">
      <c r="A258" s="52"/>
      <c r="B258" s="26" t="str">
        <v>Medical Bill</v>
      </c>
      <c r="C258" s="66">
        <f ca="1"/>
        <v>0</v>
      </c>
      <c r="D258" s="66">
        <f ca="1">IF(B258="","", ROUND(C258 * (VLOOKUP(B258, '💳 Debt Input'!$A$4:$G$9, 3, FALSE) / 12), 2))</f>
        <v>0</v>
      </c>
      <c r="E258" s="66" cm="1">
        <f t="array" aca="1" ref="E258" ca="1">IF(B258="","", ROUND(MIN(C258+D258, MAX(VLOOKUP(B258,'💳 Debt Input'!$A$4:$G$9,4,FALSE), $F$3 - IFERROR(SUM(OFFSET(E258, -MOD(ROW()-6, 6), 0, MOD(ROW()-6, 6))), 0) - IFERROR(SUM(SUMIF('💳 Debt Input'!$A$4:$A$9, OFFSET(B258, 1, 0, 5-MOD(ROW()-6, 6)), '💳 Debt Input'!$D$4:$D$9)), 0))), 2))</f>
        <v>0</v>
      </c>
      <c r="F258" s="66">
        <f t="shared" ca="1" si="8"/>
        <v>0</v>
      </c>
      <c r="G258" s="28" t="str">
        <f t="shared" ca="1" si="9"/>
        <v>Paid off</v>
      </c>
      <c r="H258" s="28"/>
    </row>
    <row r="259" spans="1:8" ht="18" customHeight="1" x14ac:dyDescent="0.35">
      <c r="A259" s="52"/>
      <c r="B259" s="26" t="str">
        <v>Personal Loan</v>
      </c>
      <c r="C259" s="66">
        <f ca="1"/>
        <v>0</v>
      </c>
      <c r="D259" s="66">
        <f ca="1">IF(B259="","", ROUND(C259 * (VLOOKUP(B259, '💳 Debt Input'!$A$4:$G$9, 3, FALSE) / 12), 2))</f>
        <v>0</v>
      </c>
      <c r="E259" s="66" cm="1">
        <f t="array" aca="1" ref="E259" ca="1">IF(B259="","", ROUND(MIN(C259+D259, MAX(VLOOKUP(B259,'💳 Debt Input'!$A$4:$G$9,4,FALSE), $F$3 - IFERROR(SUM(OFFSET(E259, -MOD(ROW()-6, 6), 0, MOD(ROW()-6, 6))), 0) - IFERROR(SUM(SUMIF('💳 Debt Input'!$A$4:$A$9, OFFSET(B259, 1, 0, 5-MOD(ROW()-6, 6)), '💳 Debt Input'!$D$4:$D$9)), 0))), 2))</f>
        <v>0</v>
      </c>
      <c r="F259" s="66">
        <f t="shared" ca="1" si="8"/>
        <v>0</v>
      </c>
      <c r="G259" s="28" t="str">
        <f t="shared" ca="1" si="9"/>
        <v>Paid off</v>
      </c>
      <c r="H259" s="28"/>
    </row>
    <row r="260" spans="1:8" ht="18" customHeight="1" x14ac:dyDescent="0.35">
      <c r="A260" s="52"/>
      <c r="B260" s="26" t="str">
        <v>Auto Loan</v>
      </c>
      <c r="C260" s="66">
        <f ca="1"/>
        <v>0</v>
      </c>
      <c r="D260" s="66">
        <f ca="1">IF(B260="","", ROUND(C260 * (VLOOKUP(B260, '💳 Debt Input'!$A$4:$G$9, 3, FALSE) / 12), 2))</f>
        <v>0</v>
      </c>
      <c r="E260" s="66" cm="1">
        <f t="array" aca="1" ref="E260" ca="1">IF(B260="","", ROUND(MIN(C260+D260, MAX(VLOOKUP(B260,'💳 Debt Input'!$A$4:$G$9,4,FALSE), $F$3 - IFERROR(SUM(OFFSET(E260, -MOD(ROW()-6, 6), 0, MOD(ROW()-6, 6))), 0) - IFERROR(SUM(SUMIF('💳 Debt Input'!$A$4:$A$9, OFFSET(B260, 1, 0, 5-MOD(ROW()-6, 6)), '💳 Debt Input'!$D$4:$D$9)), 0))), 2))</f>
        <v>0</v>
      </c>
      <c r="F260" s="66">
        <f t="shared" ca="1" si="8"/>
        <v>0</v>
      </c>
      <c r="G260" s="28" t="str">
        <f t="shared" ca="1" si="9"/>
        <v>Paid off</v>
      </c>
      <c r="H260" s="28"/>
    </row>
    <row r="261" spans="1:8" ht="18" customHeight="1" x14ac:dyDescent="0.35">
      <c r="A261" s="52"/>
      <c r="B261" s="26" t="str">
        <v>Travel Card</v>
      </c>
      <c r="C261" s="66">
        <f ca="1"/>
        <v>694.41</v>
      </c>
      <c r="D261" s="66">
        <f ca="1">IF(B261="","", ROUND(C261 * (VLOOKUP(B261, '💳 Debt Input'!$A$4:$G$9, 3, FALSE) / 12), 2))</f>
        <v>10.42</v>
      </c>
      <c r="E261" s="66" cm="1">
        <f t="array" aca="1" ref="E261" ca="1">IF(B261="","", ROUND(MIN(C261+D261, MAX(VLOOKUP(B261,'💳 Debt Input'!$A$4:$G$9,4,FALSE), $F$3 - IFERROR(SUM(OFFSET(E261, -MOD(ROW()-6, 6), 0, MOD(ROW()-6, 6))), 0) - IFERROR(SUM(SUMIF('💳 Debt Input'!$A$4:$A$9, OFFSET(B261, 1, 0, 5-MOD(ROW()-6, 6)), '💳 Debt Input'!$D$4:$D$9)), 0))), 2))</f>
        <v>455</v>
      </c>
      <c r="F261" s="66">
        <f t="shared" ca="1" si="8"/>
        <v>249.83</v>
      </c>
      <c r="G261" s="28" t="str">
        <f t="shared" ca="1" si="9"/>
        <v>Active</v>
      </c>
      <c r="H261" s="28"/>
    </row>
    <row r="262" spans="1:8" ht="18" customHeight="1" x14ac:dyDescent="0.35">
      <c r="A262" s="49"/>
      <c r="B262" s="6" t="str">
        <v>Rewards Visa</v>
      </c>
      <c r="C262" s="63">
        <f ca="1"/>
        <v>16000</v>
      </c>
      <c r="D262" s="63">
        <f ca="1">IF(B262="","", ROUND(C262 * (VLOOKUP(B262, '💳 Debt Input'!$A$4:$G$9, 3, FALSE) / 12), 2))</f>
        <v>480</v>
      </c>
      <c r="E262" s="63" cm="1">
        <f t="array" aca="1" ref="E262" ca="1">IF(B262="","", ROUND(MIN(C262+D262, MAX(VLOOKUP(B262,'💳 Debt Input'!$A$4:$G$9,4,FALSE), $F$3 - IFERROR(SUM(OFFSET(E262, -MOD(ROW()-6, 6), 0, MOD(ROW()-6, 6))), 0) - IFERROR(SUM(SUMIF('💳 Debt Input'!$A$4:$A$9, OFFSET(B262, 1, 0, 5-MOD(ROW()-6, 6)), '💳 Debt Input'!$D$4:$D$9)), 0))), 2))</f>
        <v>480</v>
      </c>
      <c r="F262" s="63">
        <f t="shared" ca="1" si="8"/>
        <v>16000</v>
      </c>
      <c r="G262" s="22" t="str">
        <f t="shared" ca="1" si="9"/>
        <v>Active</v>
      </c>
      <c r="H262" s="22"/>
    </row>
    <row r="263" spans="1:8" ht="18" customHeight="1" x14ac:dyDescent="0.35">
      <c r="A263" s="51">
        <v>43</v>
      </c>
      <c r="B263" s="56" t="str" cm="1">
        <f t="array" ref="B263:B268">B257:B262</f>
        <v>Store Card</v>
      </c>
      <c r="C263" s="65" cm="1">
        <f t="array" aca="1" ref="C263:C268" ca="1">F257:F262</f>
        <v>0</v>
      </c>
      <c r="D263" s="65">
        <f ca="1">IF(B263="","", ROUND(C263 * (VLOOKUP(B263, '💳 Debt Input'!$A$4:$G$9, 3, FALSE) / 12), 2))</f>
        <v>0</v>
      </c>
      <c r="E263" s="65" cm="1">
        <f t="array" aca="1" ref="E263" ca="1">IF(B263="","", ROUND(MIN(C263+D263, MAX(VLOOKUP(B263,'💳 Debt Input'!$A$4:$G$9,4,FALSE), $F$3 - IFERROR(SUM(OFFSET(E263, -MOD(ROW()-6, 6), 0, MOD(ROW()-6, 6))), 0) - IFERROR(SUM(SUMIF('💳 Debt Input'!$A$4:$A$9, OFFSET(B263, 1, 0, 5-MOD(ROW()-6, 6)), '💳 Debt Input'!$D$4:$D$9)), 0))), 2))</f>
        <v>0</v>
      </c>
      <c r="F263" s="65">
        <f t="shared" ca="1" si="8"/>
        <v>0</v>
      </c>
      <c r="G263" s="25" t="str">
        <f t="shared" ca="1" si="9"/>
        <v>Paid off</v>
      </c>
      <c r="H263" s="25"/>
    </row>
    <row r="264" spans="1:8" ht="18" customHeight="1" x14ac:dyDescent="0.35">
      <c r="A264" s="52"/>
      <c r="B264" s="26" t="str">
        <v>Medical Bill</v>
      </c>
      <c r="C264" s="66">
        <f ca="1"/>
        <v>0</v>
      </c>
      <c r="D264" s="66">
        <f ca="1">IF(B264="","", ROUND(C264 * (VLOOKUP(B264, '💳 Debt Input'!$A$4:$G$9, 3, FALSE) / 12), 2))</f>
        <v>0</v>
      </c>
      <c r="E264" s="66" cm="1">
        <f t="array" aca="1" ref="E264" ca="1">IF(B264="","", ROUND(MIN(C264+D264, MAX(VLOOKUP(B264,'💳 Debt Input'!$A$4:$G$9,4,FALSE), $F$3 - IFERROR(SUM(OFFSET(E264, -MOD(ROW()-6, 6), 0, MOD(ROW()-6, 6))), 0) - IFERROR(SUM(SUMIF('💳 Debt Input'!$A$4:$A$9, OFFSET(B264, 1, 0, 5-MOD(ROW()-6, 6)), '💳 Debt Input'!$D$4:$D$9)), 0))), 2))</f>
        <v>0</v>
      </c>
      <c r="F264" s="66">
        <f t="shared" ca="1" si="8"/>
        <v>0</v>
      </c>
      <c r="G264" s="28" t="str">
        <f t="shared" ca="1" si="9"/>
        <v>Paid off</v>
      </c>
      <c r="H264" s="28"/>
    </row>
    <row r="265" spans="1:8" ht="18" customHeight="1" x14ac:dyDescent="0.35">
      <c r="A265" s="52"/>
      <c r="B265" s="26" t="str">
        <v>Personal Loan</v>
      </c>
      <c r="C265" s="66">
        <f ca="1"/>
        <v>0</v>
      </c>
      <c r="D265" s="66">
        <f ca="1">IF(B265="","", ROUND(C265 * (VLOOKUP(B265, '💳 Debt Input'!$A$4:$G$9, 3, FALSE) / 12), 2))</f>
        <v>0</v>
      </c>
      <c r="E265" s="66" cm="1">
        <f t="array" aca="1" ref="E265" ca="1">IF(B265="","", ROUND(MIN(C265+D265, MAX(VLOOKUP(B265,'💳 Debt Input'!$A$4:$G$9,4,FALSE), $F$3 - IFERROR(SUM(OFFSET(E265, -MOD(ROW()-6, 6), 0, MOD(ROW()-6, 6))), 0) - IFERROR(SUM(SUMIF('💳 Debt Input'!$A$4:$A$9, OFFSET(B265, 1, 0, 5-MOD(ROW()-6, 6)), '💳 Debt Input'!$D$4:$D$9)), 0))), 2))</f>
        <v>0</v>
      </c>
      <c r="F265" s="66">
        <f t="shared" ca="1" si="8"/>
        <v>0</v>
      </c>
      <c r="G265" s="28" t="str">
        <f t="shared" ca="1" si="9"/>
        <v>Paid off</v>
      </c>
      <c r="H265" s="28"/>
    </row>
    <row r="266" spans="1:8" ht="18" customHeight="1" x14ac:dyDescent="0.35">
      <c r="A266" s="52"/>
      <c r="B266" s="26" t="str">
        <v>Auto Loan</v>
      </c>
      <c r="C266" s="66">
        <f ca="1"/>
        <v>0</v>
      </c>
      <c r="D266" s="66">
        <f ca="1">IF(B266="","", ROUND(C266 * (VLOOKUP(B266, '💳 Debt Input'!$A$4:$G$9, 3, FALSE) / 12), 2))</f>
        <v>0</v>
      </c>
      <c r="E266" s="66" cm="1">
        <f t="array" aca="1" ref="E266" ca="1">IF(B266="","", ROUND(MIN(C266+D266, MAX(VLOOKUP(B266,'💳 Debt Input'!$A$4:$G$9,4,FALSE), $F$3 - IFERROR(SUM(OFFSET(E266, -MOD(ROW()-6, 6), 0, MOD(ROW()-6, 6))), 0) - IFERROR(SUM(SUMIF('💳 Debt Input'!$A$4:$A$9, OFFSET(B266, 1, 0, 5-MOD(ROW()-6, 6)), '💳 Debt Input'!$D$4:$D$9)), 0))), 2))</f>
        <v>0</v>
      </c>
      <c r="F266" s="66">
        <f t="shared" ca="1" si="8"/>
        <v>0</v>
      </c>
      <c r="G266" s="28" t="str">
        <f t="shared" ca="1" si="9"/>
        <v>Paid off</v>
      </c>
      <c r="H266" s="28"/>
    </row>
    <row r="267" spans="1:8" ht="18" customHeight="1" x14ac:dyDescent="0.35">
      <c r="A267" s="52"/>
      <c r="B267" s="26" t="str">
        <v>Travel Card</v>
      </c>
      <c r="C267" s="66">
        <f ca="1"/>
        <v>249.83</v>
      </c>
      <c r="D267" s="66">
        <f ca="1">IF(B267="","", ROUND(C267 * (VLOOKUP(B267, '💳 Debt Input'!$A$4:$G$9, 3, FALSE) / 12), 2))</f>
        <v>3.75</v>
      </c>
      <c r="E267" s="66" cm="1">
        <f t="array" aca="1" ref="E267" ca="1">IF(B267="","", ROUND(MIN(C267+D267, MAX(VLOOKUP(B267,'💳 Debt Input'!$A$4:$G$9,4,FALSE), $F$3 - IFERROR(SUM(OFFSET(E267, -MOD(ROW()-6, 6), 0, MOD(ROW()-6, 6))), 0) - IFERROR(SUM(SUMIF('💳 Debt Input'!$A$4:$A$9, OFFSET(B267, 1, 0, 5-MOD(ROW()-6, 6)), '💳 Debt Input'!$D$4:$D$9)), 0))), 2))</f>
        <v>253.58</v>
      </c>
      <c r="F267" s="66">
        <f t="shared" ca="1" si="8"/>
        <v>0</v>
      </c>
      <c r="G267" s="28" t="str">
        <f t="shared" ca="1" si="9"/>
        <v>Paid off</v>
      </c>
      <c r="H267" s="28"/>
    </row>
    <row r="268" spans="1:8" ht="18" customHeight="1" x14ac:dyDescent="0.35">
      <c r="A268" s="47"/>
      <c r="B268" s="8" t="str">
        <v>Rewards Visa</v>
      </c>
      <c r="C268" s="61">
        <f ca="1"/>
        <v>16000</v>
      </c>
      <c r="D268" s="61">
        <f ca="1">IF(B268="","", ROUND(C268 * (VLOOKUP(B268, '💳 Debt Input'!$A$4:$G$9, 3, FALSE) / 12), 2))</f>
        <v>480</v>
      </c>
      <c r="E268" s="61" cm="1">
        <f t="array" aca="1" ref="E268" ca="1">IF(B268="","", ROUND(MIN(C268+D268, MAX(VLOOKUP(B268,'💳 Debt Input'!$A$4:$G$9,4,FALSE), $F$3 - IFERROR(SUM(OFFSET(E268, -MOD(ROW()-6, 6), 0, MOD(ROW()-6, 6))), 0) - IFERROR(SUM(SUMIF('💳 Debt Input'!$A$4:$A$9, OFFSET(B268, 1, 0, 5-MOD(ROW()-6, 6)), '💳 Debt Input'!$D$4:$D$9)), 0))), 2))</f>
        <v>681.42</v>
      </c>
      <c r="F268" s="61">
        <f t="shared" ca="1" si="8"/>
        <v>15798.58</v>
      </c>
      <c r="G268" s="19" t="str">
        <f t="shared" ca="1" si="9"/>
        <v>Active</v>
      </c>
      <c r="H268" s="19"/>
    </row>
    <row r="269" spans="1:8" ht="18" customHeight="1" x14ac:dyDescent="0.35">
      <c r="A269" s="51">
        <v>44</v>
      </c>
      <c r="B269" s="56" t="str" cm="1">
        <f t="array" ref="B269:B274">B263:B268</f>
        <v>Store Card</v>
      </c>
      <c r="C269" s="65" cm="1">
        <f t="array" aca="1" ref="C269:C274" ca="1">F263:F268</f>
        <v>0</v>
      </c>
      <c r="D269" s="65">
        <f ca="1">IF(B269="","", ROUND(C269 * (VLOOKUP(B269, '💳 Debt Input'!$A$4:$G$9, 3, FALSE) / 12), 2))</f>
        <v>0</v>
      </c>
      <c r="E269" s="65" cm="1">
        <f t="array" aca="1" ref="E269" ca="1">IF(B269="","", ROUND(MIN(C269+D269, MAX(VLOOKUP(B269,'💳 Debt Input'!$A$4:$G$9,4,FALSE), $F$3 - IFERROR(SUM(OFFSET(E269, -MOD(ROW()-6, 6), 0, MOD(ROW()-6, 6))), 0) - IFERROR(SUM(SUMIF('💳 Debt Input'!$A$4:$A$9, OFFSET(B269, 1, 0, 5-MOD(ROW()-6, 6)), '💳 Debt Input'!$D$4:$D$9)), 0))), 2))</f>
        <v>0</v>
      </c>
      <c r="F269" s="65">
        <f t="shared" ca="1" si="8"/>
        <v>0</v>
      </c>
      <c r="G269" s="25" t="str">
        <f t="shared" ca="1" si="9"/>
        <v>Paid off</v>
      </c>
      <c r="H269" s="25"/>
    </row>
    <row r="270" spans="1:8" ht="18" customHeight="1" x14ac:dyDescent="0.35">
      <c r="A270" s="52"/>
      <c r="B270" s="26" t="str">
        <v>Medical Bill</v>
      </c>
      <c r="C270" s="66">
        <f ca="1"/>
        <v>0</v>
      </c>
      <c r="D270" s="66">
        <f ca="1">IF(B270="","", ROUND(C270 * (VLOOKUP(B270, '💳 Debt Input'!$A$4:$G$9, 3, FALSE) / 12), 2))</f>
        <v>0</v>
      </c>
      <c r="E270" s="66" cm="1">
        <f t="array" aca="1" ref="E270" ca="1">IF(B270="","", ROUND(MIN(C270+D270, MAX(VLOOKUP(B270,'💳 Debt Input'!$A$4:$G$9,4,FALSE), $F$3 - IFERROR(SUM(OFFSET(E270, -MOD(ROW()-6, 6), 0, MOD(ROW()-6, 6))), 0) - IFERROR(SUM(SUMIF('💳 Debt Input'!$A$4:$A$9, OFFSET(B270, 1, 0, 5-MOD(ROW()-6, 6)), '💳 Debt Input'!$D$4:$D$9)), 0))), 2))</f>
        <v>0</v>
      </c>
      <c r="F270" s="66">
        <f t="shared" ca="1" si="8"/>
        <v>0</v>
      </c>
      <c r="G270" s="28" t="str">
        <f t="shared" ca="1" si="9"/>
        <v>Paid off</v>
      </c>
      <c r="H270" s="28"/>
    </row>
    <row r="271" spans="1:8" ht="18" customHeight="1" x14ac:dyDescent="0.35">
      <c r="A271" s="52"/>
      <c r="B271" s="26" t="str">
        <v>Personal Loan</v>
      </c>
      <c r="C271" s="66">
        <f ca="1"/>
        <v>0</v>
      </c>
      <c r="D271" s="66">
        <f ca="1">IF(B271="","", ROUND(C271 * (VLOOKUP(B271, '💳 Debt Input'!$A$4:$G$9, 3, FALSE) / 12), 2))</f>
        <v>0</v>
      </c>
      <c r="E271" s="66" cm="1">
        <f t="array" aca="1" ref="E271" ca="1">IF(B271="","", ROUND(MIN(C271+D271, MAX(VLOOKUP(B271,'💳 Debt Input'!$A$4:$G$9,4,FALSE), $F$3 - IFERROR(SUM(OFFSET(E271, -MOD(ROW()-6, 6), 0, MOD(ROW()-6, 6))), 0) - IFERROR(SUM(SUMIF('💳 Debt Input'!$A$4:$A$9, OFFSET(B271, 1, 0, 5-MOD(ROW()-6, 6)), '💳 Debt Input'!$D$4:$D$9)), 0))), 2))</f>
        <v>0</v>
      </c>
      <c r="F271" s="66">
        <f t="shared" ca="1" si="8"/>
        <v>0</v>
      </c>
      <c r="G271" s="28" t="str">
        <f t="shared" ca="1" si="9"/>
        <v>Paid off</v>
      </c>
      <c r="H271" s="28"/>
    </row>
    <row r="272" spans="1:8" ht="18" customHeight="1" x14ac:dyDescent="0.35">
      <c r="A272" s="52"/>
      <c r="B272" s="26" t="str">
        <v>Auto Loan</v>
      </c>
      <c r="C272" s="66">
        <f ca="1"/>
        <v>0</v>
      </c>
      <c r="D272" s="66">
        <f ca="1">IF(B272="","", ROUND(C272 * (VLOOKUP(B272, '💳 Debt Input'!$A$4:$G$9, 3, FALSE) / 12), 2))</f>
        <v>0</v>
      </c>
      <c r="E272" s="66" cm="1">
        <f t="array" aca="1" ref="E272" ca="1">IF(B272="","", ROUND(MIN(C272+D272, MAX(VLOOKUP(B272,'💳 Debt Input'!$A$4:$G$9,4,FALSE), $F$3 - IFERROR(SUM(OFFSET(E272, -MOD(ROW()-6, 6), 0, MOD(ROW()-6, 6))), 0) - IFERROR(SUM(SUMIF('💳 Debt Input'!$A$4:$A$9, OFFSET(B272, 1, 0, 5-MOD(ROW()-6, 6)), '💳 Debt Input'!$D$4:$D$9)), 0))), 2))</f>
        <v>0</v>
      </c>
      <c r="F272" s="66">
        <f t="shared" ca="1" si="8"/>
        <v>0</v>
      </c>
      <c r="G272" s="28" t="str">
        <f t="shared" ca="1" si="9"/>
        <v>Paid off</v>
      </c>
      <c r="H272" s="28"/>
    </row>
    <row r="273" spans="1:8" ht="18" customHeight="1" x14ac:dyDescent="0.35">
      <c r="A273" s="52"/>
      <c r="B273" s="26" t="str">
        <v>Travel Card</v>
      </c>
      <c r="C273" s="66">
        <f ca="1"/>
        <v>0</v>
      </c>
      <c r="D273" s="66">
        <f ca="1">IF(B273="","", ROUND(C273 * (VLOOKUP(B273, '💳 Debt Input'!$A$4:$G$9, 3, FALSE) / 12), 2))</f>
        <v>0</v>
      </c>
      <c r="E273" s="66" cm="1">
        <f t="array" aca="1" ref="E273" ca="1">IF(B273="","", ROUND(MIN(C273+D273, MAX(VLOOKUP(B273,'💳 Debt Input'!$A$4:$G$9,4,FALSE), $F$3 - IFERROR(SUM(OFFSET(E273, -MOD(ROW()-6, 6), 0, MOD(ROW()-6, 6))), 0) - IFERROR(SUM(SUMIF('💳 Debt Input'!$A$4:$A$9, OFFSET(B273, 1, 0, 5-MOD(ROW()-6, 6)), '💳 Debt Input'!$D$4:$D$9)), 0))), 2))</f>
        <v>0</v>
      </c>
      <c r="F273" s="66">
        <f t="shared" ca="1" si="8"/>
        <v>0</v>
      </c>
      <c r="G273" s="28" t="str">
        <f t="shared" ca="1" si="9"/>
        <v>Paid off</v>
      </c>
      <c r="H273" s="28"/>
    </row>
    <row r="274" spans="1:8" ht="18" customHeight="1" x14ac:dyDescent="0.35">
      <c r="A274" s="49"/>
      <c r="B274" s="6" t="str">
        <v>Rewards Visa</v>
      </c>
      <c r="C274" s="63">
        <f ca="1"/>
        <v>15798.58</v>
      </c>
      <c r="D274" s="63">
        <f ca="1">IF(B274="","", ROUND(C274 * (VLOOKUP(B274, '💳 Debt Input'!$A$4:$G$9, 3, FALSE) / 12), 2))</f>
        <v>473.96</v>
      </c>
      <c r="E274" s="63" cm="1">
        <f t="array" aca="1" ref="E274" ca="1">IF(B274="","", ROUND(MIN(C274+D274, MAX(VLOOKUP(B274,'💳 Debt Input'!$A$4:$G$9,4,FALSE), $F$3 - IFERROR(SUM(OFFSET(E274, -MOD(ROW()-6, 6), 0, MOD(ROW()-6, 6))), 0) - IFERROR(SUM(SUMIF('💳 Debt Input'!$A$4:$A$9, OFFSET(B274, 1, 0, 5-MOD(ROW()-6, 6)), '💳 Debt Input'!$D$4:$D$9)), 0))), 2))</f>
        <v>935</v>
      </c>
      <c r="F274" s="63">
        <f t="shared" ca="1" si="8"/>
        <v>15337.54</v>
      </c>
      <c r="G274" s="22" t="str">
        <f t="shared" ca="1" si="9"/>
        <v>Active</v>
      </c>
      <c r="H274" s="22"/>
    </row>
    <row r="275" spans="1:8" ht="18" customHeight="1" x14ac:dyDescent="0.35">
      <c r="A275" s="51">
        <v>45</v>
      </c>
      <c r="B275" s="56" t="str" cm="1">
        <f t="array" ref="B275:B280">B269:B274</f>
        <v>Store Card</v>
      </c>
      <c r="C275" s="65" cm="1">
        <f t="array" aca="1" ref="C275:C280" ca="1">F269:F274</f>
        <v>0</v>
      </c>
      <c r="D275" s="65">
        <f ca="1">IF(B275="","", ROUND(C275 * (VLOOKUP(B275, '💳 Debt Input'!$A$4:$G$9, 3, FALSE) / 12), 2))</f>
        <v>0</v>
      </c>
      <c r="E275" s="65" cm="1">
        <f t="array" aca="1" ref="E275" ca="1">IF(B275="","", ROUND(MIN(C275+D275, MAX(VLOOKUP(B275,'💳 Debt Input'!$A$4:$G$9,4,FALSE), $F$3 - IFERROR(SUM(OFFSET(E275, -MOD(ROW()-6, 6), 0, MOD(ROW()-6, 6))), 0) - IFERROR(SUM(SUMIF('💳 Debt Input'!$A$4:$A$9, OFFSET(B275, 1, 0, 5-MOD(ROW()-6, 6)), '💳 Debt Input'!$D$4:$D$9)), 0))), 2))</f>
        <v>0</v>
      </c>
      <c r="F275" s="65">
        <f t="shared" ca="1" si="8"/>
        <v>0</v>
      </c>
      <c r="G275" s="25" t="str">
        <f t="shared" ca="1" si="9"/>
        <v>Paid off</v>
      </c>
      <c r="H275" s="25"/>
    </row>
    <row r="276" spans="1:8" ht="18" customHeight="1" x14ac:dyDescent="0.35">
      <c r="A276" s="52"/>
      <c r="B276" s="26" t="str">
        <v>Medical Bill</v>
      </c>
      <c r="C276" s="66">
        <f ca="1"/>
        <v>0</v>
      </c>
      <c r="D276" s="66">
        <f ca="1">IF(B276="","", ROUND(C276 * (VLOOKUP(B276, '💳 Debt Input'!$A$4:$G$9, 3, FALSE) / 12), 2))</f>
        <v>0</v>
      </c>
      <c r="E276" s="66" cm="1">
        <f t="array" aca="1" ref="E276" ca="1">IF(B276="","", ROUND(MIN(C276+D276, MAX(VLOOKUP(B276,'💳 Debt Input'!$A$4:$G$9,4,FALSE), $F$3 - IFERROR(SUM(OFFSET(E276, -MOD(ROW()-6, 6), 0, MOD(ROW()-6, 6))), 0) - IFERROR(SUM(SUMIF('💳 Debt Input'!$A$4:$A$9, OFFSET(B276, 1, 0, 5-MOD(ROW()-6, 6)), '💳 Debt Input'!$D$4:$D$9)), 0))), 2))</f>
        <v>0</v>
      </c>
      <c r="F276" s="66">
        <f t="shared" ca="1" si="8"/>
        <v>0</v>
      </c>
      <c r="G276" s="28" t="str">
        <f t="shared" ca="1" si="9"/>
        <v>Paid off</v>
      </c>
      <c r="H276" s="28"/>
    </row>
    <row r="277" spans="1:8" ht="18" customHeight="1" x14ac:dyDescent="0.35">
      <c r="A277" s="52"/>
      <c r="B277" s="26" t="str">
        <v>Personal Loan</v>
      </c>
      <c r="C277" s="66">
        <f ca="1"/>
        <v>0</v>
      </c>
      <c r="D277" s="66">
        <f ca="1">IF(B277="","", ROUND(C277 * (VLOOKUP(B277, '💳 Debt Input'!$A$4:$G$9, 3, FALSE) / 12), 2))</f>
        <v>0</v>
      </c>
      <c r="E277" s="66" cm="1">
        <f t="array" aca="1" ref="E277" ca="1">IF(B277="","", ROUND(MIN(C277+D277, MAX(VLOOKUP(B277,'💳 Debt Input'!$A$4:$G$9,4,FALSE), $F$3 - IFERROR(SUM(OFFSET(E277, -MOD(ROW()-6, 6), 0, MOD(ROW()-6, 6))), 0) - IFERROR(SUM(SUMIF('💳 Debt Input'!$A$4:$A$9, OFFSET(B277, 1, 0, 5-MOD(ROW()-6, 6)), '💳 Debt Input'!$D$4:$D$9)), 0))), 2))</f>
        <v>0</v>
      </c>
      <c r="F277" s="66">
        <f t="shared" ca="1" si="8"/>
        <v>0</v>
      </c>
      <c r="G277" s="28" t="str">
        <f t="shared" ca="1" si="9"/>
        <v>Paid off</v>
      </c>
      <c r="H277" s="28"/>
    </row>
    <row r="278" spans="1:8" ht="18" customHeight="1" x14ac:dyDescent="0.35">
      <c r="A278" s="52"/>
      <c r="B278" s="26" t="str">
        <v>Auto Loan</v>
      </c>
      <c r="C278" s="66">
        <f ca="1"/>
        <v>0</v>
      </c>
      <c r="D278" s="66">
        <f ca="1">IF(B278="","", ROUND(C278 * (VLOOKUP(B278, '💳 Debt Input'!$A$4:$G$9, 3, FALSE) / 12), 2))</f>
        <v>0</v>
      </c>
      <c r="E278" s="66" cm="1">
        <f t="array" aca="1" ref="E278" ca="1">IF(B278="","", ROUND(MIN(C278+D278, MAX(VLOOKUP(B278,'💳 Debt Input'!$A$4:$G$9,4,FALSE), $F$3 - IFERROR(SUM(OFFSET(E278, -MOD(ROW()-6, 6), 0, MOD(ROW()-6, 6))), 0) - IFERROR(SUM(SUMIF('💳 Debt Input'!$A$4:$A$9, OFFSET(B278, 1, 0, 5-MOD(ROW()-6, 6)), '💳 Debt Input'!$D$4:$D$9)), 0))), 2))</f>
        <v>0</v>
      </c>
      <c r="F278" s="66">
        <f t="shared" ca="1" si="8"/>
        <v>0</v>
      </c>
      <c r="G278" s="28" t="str">
        <f t="shared" ca="1" si="9"/>
        <v>Paid off</v>
      </c>
      <c r="H278" s="28"/>
    </row>
    <row r="279" spans="1:8" ht="18" customHeight="1" x14ac:dyDescent="0.35">
      <c r="A279" s="52"/>
      <c r="B279" s="26" t="str">
        <v>Travel Card</v>
      </c>
      <c r="C279" s="66">
        <f ca="1"/>
        <v>0</v>
      </c>
      <c r="D279" s="66">
        <f ca="1">IF(B279="","", ROUND(C279 * (VLOOKUP(B279, '💳 Debt Input'!$A$4:$G$9, 3, FALSE) / 12), 2))</f>
        <v>0</v>
      </c>
      <c r="E279" s="66" cm="1">
        <f t="array" aca="1" ref="E279" ca="1">IF(B279="","", ROUND(MIN(C279+D279, MAX(VLOOKUP(B279,'💳 Debt Input'!$A$4:$G$9,4,FALSE), $F$3 - IFERROR(SUM(OFFSET(E279, -MOD(ROW()-6, 6), 0, MOD(ROW()-6, 6))), 0) - IFERROR(SUM(SUMIF('💳 Debt Input'!$A$4:$A$9, OFFSET(B279, 1, 0, 5-MOD(ROW()-6, 6)), '💳 Debt Input'!$D$4:$D$9)), 0))), 2))</f>
        <v>0</v>
      </c>
      <c r="F279" s="66">
        <f t="shared" ref="F279:F342" ca="1" si="10">ROUND(MAX(0,C279+D279-E279),2)</f>
        <v>0</v>
      </c>
      <c r="G279" s="28" t="str">
        <f t="shared" ref="G279:G342" ca="1" si="11">IF(F279=0,"Paid off","Active")</f>
        <v>Paid off</v>
      </c>
      <c r="H279" s="28"/>
    </row>
    <row r="280" spans="1:8" ht="18" customHeight="1" x14ac:dyDescent="0.35">
      <c r="A280" s="47"/>
      <c r="B280" s="8" t="str">
        <v>Rewards Visa</v>
      </c>
      <c r="C280" s="61">
        <f ca="1"/>
        <v>15337.54</v>
      </c>
      <c r="D280" s="61">
        <f ca="1">IF(B280="","", ROUND(C280 * (VLOOKUP(B280, '💳 Debt Input'!$A$4:$G$9, 3, FALSE) / 12), 2))</f>
        <v>460.13</v>
      </c>
      <c r="E280" s="61" cm="1">
        <f t="array" aca="1" ref="E280" ca="1">IF(B280="","", ROUND(MIN(C280+D280, MAX(VLOOKUP(B280,'💳 Debt Input'!$A$4:$G$9,4,FALSE), $F$3 - IFERROR(SUM(OFFSET(E280, -MOD(ROW()-6, 6), 0, MOD(ROW()-6, 6))), 0) - IFERROR(SUM(SUMIF('💳 Debt Input'!$A$4:$A$9, OFFSET(B280, 1, 0, 5-MOD(ROW()-6, 6)), '💳 Debt Input'!$D$4:$D$9)), 0))), 2))</f>
        <v>935</v>
      </c>
      <c r="F280" s="61">
        <f t="shared" ca="1" si="10"/>
        <v>14862.67</v>
      </c>
      <c r="G280" s="19" t="str">
        <f t="shared" ca="1" si="11"/>
        <v>Active</v>
      </c>
      <c r="H280" s="19"/>
    </row>
    <row r="281" spans="1:8" ht="18" customHeight="1" x14ac:dyDescent="0.35">
      <c r="A281" s="51">
        <v>46</v>
      </c>
      <c r="B281" s="56" t="str" cm="1">
        <f t="array" ref="B281:B286">B275:B280</f>
        <v>Store Card</v>
      </c>
      <c r="C281" s="65" cm="1">
        <f t="array" aca="1" ref="C281:C286" ca="1">F275:F280</f>
        <v>0</v>
      </c>
      <c r="D281" s="65">
        <f ca="1">IF(B281="","", ROUND(C281 * (VLOOKUP(B281, '💳 Debt Input'!$A$4:$G$9, 3, FALSE) / 12), 2))</f>
        <v>0</v>
      </c>
      <c r="E281" s="65" cm="1">
        <f t="array" aca="1" ref="E281" ca="1">IF(B281="","", ROUND(MIN(C281+D281, MAX(VLOOKUP(B281,'💳 Debt Input'!$A$4:$G$9,4,FALSE), $F$3 - IFERROR(SUM(OFFSET(E281, -MOD(ROW()-6, 6), 0, MOD(ROW()-6, 6))), 0) - IFERROR(SUM(SUMIF('💳 Debt Input'!$A$4:$A$9, OFFSET(B281, 1, 0, 5-MOD(ROW()-6, 6)), '💳 Debt Input'!$D$4:$D$9)), 0))), 2))</f>
        <v>0</v>
      </c>
      <c r="F281" s="65">
        <f t="shared" ca="1" si="10"/>
        <v>0</v>
      </c>
      <c r="G281" s="25" t="str">
        <f t="shared" ca="1" si="11"/>
        <v>Paid off</v>
      </c>
      <c r="H281" s="25"/>
    </row>
    <row r="282" spans="1:8" ht="18" customHeight="1" x14ac:dyDescent="0.35">
      <c r="A282" s="52"/>
      <c r="B282" s="26" t="str">
        <v>Medical Bill</v>
      </c>
      <c r="C282" s="66">
        <f ca="1"/>
        <v>0</v>
      </c>
      <c r="D282" s="66">
        <f ca="1">IF(B282="","", ROUND(C282 * (VLOOKUP(B282, '💳 Debt Input'!$A$4:$G$9, 3, FALSE) / 12), 2))</f>
        <v>0</v>
      </c>
      <c r="E282" s="66" cm="1">
        <f t="array" aca="1" ref="E282" ca="1">IF(B282="","", ROUND(MIN(C282+D282, MAX(VLOOKUP(B282,'💳 Debt Input'!$A$4:$G$9,4,FALSE), $F$3 - IFERROR(SUM(OFFSET(E282, -MOD(ROW()-6, 6), 0, MOD(ROW()-6, 6))), 0) - IFERROR(SUM(SUMIF('💳 Debt Input'!$A$4:$A$9, OFFSET(B282, 1, 0, 5-MOD(ROW()-6, 6)), '💳 Debt Input'!$D$4:$D$9)), 0))), 2))</f>
        <v>0</v>
      </c>
      <c r="F282" s="66">
        <f t="shared" ca="1" si="10"/>
        <v>0</v>
      </c>
      <c r="G282" s="28" t="str">
        <f t="shared" ca="1" si="11"/>
        <v>Paid off</v>
      </c>
      <c r="H282" s="28"/>
    </row>
    <row r="283" spans="1:8" ht="18" customHeight="1" x14ac:dyDescent="0.35">
      <c r="A283" s="52"/>
      <c r="B283" s="26" t="str">
        <v>Personal Loan</v>
      </c>
      <c r="C283" s="66">
        <f ca="1"/>
        <v>0</v>
      </c>
      <c r="D283" s="66">
        <f ca="1">IF(B283="","", ROUND(C283 * (VLOOKUP(B283, '💳 Debt Input'!$A$4:$G$9, 3, FALSE) / 12), 2))</f>
        <v>0</v>
      </c>
      <c r="E283" s="66" cm="1">
        <f t="array" aca="1" ref="E283" ca="1">IF(B283="","", ROUND(MIN(C283+D283, MAX(VLOOKUP(B283,'💳 Debt Input'!$A$4:$G$9,4,FALSE), $F$3 - IFERROR(SUM(OFFSET(E283, -MOD(ROW()-6, 6), 0, MOD(ROW()-6, 6))), 0) - IFERROR(SUM(SUMIF('💳 Debt Input'!$A$4:$A$9, OFFSET(B283, 1, 0, 5-MOD(ROW()-6, 6)), '💳 Debt Input'!$D$4:$D$9)), 0))), 2))</f>
        <v>0</v>
      </c>
      <c r="F283" s="66">
        <f t="shared" ca="1" si="10"/>
        <v>0</v>
      </c>
      <c r="G283" s="28" t="str">
        <f t="shared" ca="1" si="11"/>
        <v>Paid off</v>
      </c>
      <c r="H283" s="28"/>
    </row>
    <row r="284" spans="1:8" ht="18" customHeight="1" x14ac:dyDescent="0.35">
      <c r="A284" s="52"/>
      <c r="B284" s="26" t="str">
        <v>Auto Loan</v>
      </c>
      <c r="C284" s="66">
        <f ca="1"/>
        <v>0</v>
      </c>
      <c r="D284" s="66">
        <f ca="1">IF(B284="","", ROUND(C284 * (VLOOKUP(B284, '💳 Debt Input'!$A$4:$G$9, 3, FALSE) / 12), 2))</f>
        <v>0</v>
      </c>
      <c r="E284" s="66" cm="1">
        <f t="array" aca="1" ref="E284" ca="1">IF(B284="","", ROUND(MIN(C284+D284, MAX(VLOOKUP(B284,'💳 Debt Input'!$A$4:$G$9,4,FALSE), $F$3 - IFERROR(SUM(OFFSET(E284, -MOD(ROW()-6, 6), 0, MOD(ROW()-6, 6))), 0) - IFERROR(SUM(SUMIF('💳 Debt Input'!$A$4:$A$9, OFFSET(B284, 1, 0, 5-MOD(ROW()-6, 6)), '💳 Debt Input'!$D$4:$D$9)), 0))), 2))</f>
        <v>0</v>
      </c>
      <c r="F284" s="66">
        <f t="shared" ca="1" si="10"/>
        <v>0</v>
      </c>
      <c r="G284" s="28" t="str">
        <f t="shared" ca="1" si="11"/>
        <v>Paid off</v>
      </c>
      <c r="H284" s="28"/>
    </row>
    <row r="285" spans="1:8" ht="18" customHeight="1" x14ac:dyDescent="0.35">
      <c r="A285" s="52"/>
      <c r="B285" s="26" t="str">
        <v>Travel Card</v>
      </c>
      <c r="C285" s="66">
        <f ca="1"/>
        <v>0</v>
      </c>
      <c r="D285" s="66">
        <f ca="1">IF(B285="","", ROUND(C285 * (VLOOKUP(B285, '💳 Debt Input'!$A$4:$G$9, 3, FALSE) / 12), 2))</f>
        <v>0</v>
      </c>
      <c r="E285" s="66" cm="1">
        <f t="array" aca="1" ref="E285" ca="1">IF(B285="","", ROUND(MIN(C285+D285, MAX(VLOOKUP(B285,'💳 Debt Input'!$A$4:$G$9,4,FALSE), $F$3 - IFERROR(SUM(OFFSET(E285, -MOD(ROW()-6, 6), 0, MOD(ROW()-6, 6))), 0) - IFERROR(SUM(SUMIF('💳 Debt Input'!$A$4:$A$9, OFFSET(B285, 1, 0, 5-MOD(ROW()-6, 6)), '💳 Debt Input'!$D$4:$D$9)), 0))), 2))</f>
        <v>0</v>
      </c>
      <c r="F285" s="66">
        <f t="shared" ca="1" si="10"/>
        <v>0</v>
      </c>
      <c r="G285" s="28" t="str">
        <f t="shared" ca="1" si="11"/>
        <v>Paid off</v>
      </c>
      <c r="H285" s="28"/>
    </row>
    <row r="286" spans="1:8" ht="18" customHeight="1" x14ac:dyDescent="0.35">
      <c r="A286" s="49"/>
      <c r="B286" s="6" t="str">
        <v>Rewards Visa</v>
      </c>
      <c r="C286" s="63">
        <f ca="1"/>
        <v>14862.67</v>
      </c>
      <c r="D286" s="63">
        <f ca="1">IF(B286="","", ROUND(C286 * (VLOOKUP(B286, '💳 Debt Input'!$A$4:$G$9, 3, FALSE) / 12), 2))</f>
        <v>445.88</v>
      </c>
      <c r="E286" s="63" cm="1">
        <f t="array" aca="1" ref="E286" ca="1">IF(B286="","", ROUND(MIN(C286+D286, MAX(VLOOKUP(B286,'💳 Debt Input'!$A$4:$G$9,4,FALSE), $F$3 - IFERROR(SUM(OFFSET(E286, -MOD(ROW()-6, 6), 0, MOD(ROW()-6, 6))), 0) - IFERROR(SUM(SUMIF('💳 Debt Input'!$A$4:$A$9, OFFSET(B286, 1, 0, 5-MOD(ROW()-6, 6)), '💳 Debt Input'!$D$4:$D$9)), 0))), 2))</f>
        <v>935</v>
      </c>
      <c r="F286" s="63">
        <f t="shared" ca="1" si="10"/>
        <v>14373.55</v>
      </c>
      <c r="G286" s="22" t="str">
        <f t="shared" ca="1" si="11"/>
        <v>Active</v>
      </c>
      <c r="H286" s="22"/>
    </row>
    <row r="287" spans="1:8" ht="18" customHeight="1" x14ac:dyDescent="0.35">
      <c r="A287" s="51">
        <v>47</v>
      </c>
      <c r="B287" s="56" t="str" cm="1">
        <f t="array" ref="B287:B292">B281:B286</f>
        <v>Store Card</v>
      </c>
      <c r="C287" s="65" cm="1">
        <f t="array" aca="1" ref="C287:C292" ca="1">F281:F286</f>
        <v>0</v>
      </c>
      <c r="D287" s="65">
        <f ca="1">IF(B287="","", ROUND(C287 * (VLOOKUP(B287, '💳 Debt Input'!$A$4:$G$9, 3, FALSE) / 12), 2))</f>
        <v>0</v>
      </c>
      <c r="E287" s="65" cm="1">
        <f t="array" aca="1" ref="E287" ca="1">IF(B287="","", ROUND(MIN(C287+D287, MAX(VLOOKUP(B287,'💳 Debt Input'!$A$4:$G$9,4,FALSE), $F$3 - IFERROR(SUM(OFFSET(E287, -MOD(ROW()-6, 6), 0, MOD(ROW()-6, 6))), 0) - IFERROR(SUM(SUMIF('💳 Debt Input'!$A$4:$A$9, OFFSET(B287, 1, 0, 5-MOD(ROW()-6, 6)), '💳 Debt Input'!$D$4:$D$9)), 0))), 2))</f>
        <v>0</v>
      </c>
      <c r="F287" s="65">
        <f t="shared" ca="1" si="10"/>
        <v>0</v>
      </c>
      <c r="G287" s="25" t="str">
        <f t="shared" ca="1" si="11"/>
        <v>Paid off</v>
      </c>
      <c r="H287" s="25"/>
    </row>
    <row r="288" spans="1:8" ht="18" customHeight="1" x14ac:dyDescent="0.35">
      <c r="A288" s="52"/>
      <c r="B288" s="26" t="str">
        <v>Medical Bill</v>
      </c>
      <c r="C288" s="66">
        <f ca="1"/>
        <v>0</v>
      </c>
      <c r="D288" s="66">
        <f ca="1">IF(B288="","", ROUND(C288 * (VLOOKUP(B288, '💳 Debt Input'!$A$4:$G$9, 3, FALSE) / 12), 2))</f>
        <v>0</v>
      </c>
      <c r="E288" s="66" cm="1">
        <f t="array" aca="1" ref="E288" ca="1">IF(B288="","", ROUND(MIN(C288+D288, MAX(VLOOKUP(B288,'💳 Debt Input'!$A$4:$G$9,4,FALSE), $F$3 - IFERROR(SUM(OFFSET(E288, -MOD(ROW()-6, 6), 0, MOD(ROW()-6, 6))), 0) - IFERROR(SUM(SUMIF('💳 Debt Input'!$A$4:$A$9, OFFSET(B288, 1, 0, 5-MOD(ROW()-6, 6)), '💳 Debt Input'!$D$4:$D$9)), 0))), 2))</f>
        <v>0</v>
      </c>
      <c r="F288" s="66">
        <f t="shared" ca="1" si="10"/>
        <v>0</v>
      </c>
      <c r="G288" s="28" t="str">
        <f t="shared" ca="1" si="11"/>
        <v>Paid off</v>
      </c>
      <c r="H288" s="28"/>
    </row>
    <row r="289" spans="1:8" ht="18" customHeight="1" x14ac:dyDescent="0.35">
      <c r="A289" s="52"/>
      <c r="B289" s="26" t="str">
        <v>Personal Loan</v>
      </c>
      <c r="C289" s="66">
        <f ca="1"/>
        <v>0</v>
      </c>
      <c r="D289" s="66">
        <f ca="1">IF(B289="","", ROUND(C289 * (VLOOKUP(B289, '💳 Debt Input'!$A$4:$G$9, 3, FALSE) / 12), 2))</f>
        <v>0</v>
      </c>
      <c r="E289" s="66" cm="1">
        <f t="array" aca="1" ref="E289" ca="1">IF(B289="","", ROUND(MIN(C289+D289, MAX(VLOOKUP(B289,'💳 Debt Input'!$A$4:$G$9,4,FALSE), $F$3 - IFERROR(SUM(OFFSET(E289, -MOD(ROW()-6, 6), 0, MOD(ROW()-6, 6))), 0) - IFERROR(SUM(SUMIF('💳 Debt Input'!$A$4:$A$9, OFFSET(B289, 1, 0, 5-MOD(ROW()-6, 6)), '💳 Debt Input'!$D$4:$D$9)), 0))), 2))</f>
        <v>0</v>
      </c>
      <c r="F289" s="66">
        <f t="shared" ca="1" si="10"/>
        <v>0</v>
      </c>
      <c r="G289" s="28" t="str">
        <f t="shared" ca="1" si="11"/>
        <v>Paid off</v>
      </c>
      <c r="H289" s="28"/>
    </row>
    <row r="290" spans="1:8" ht="18" customHeight="1" x14ac:dyDescent="0.35">
      <c r="A290" s="52"/>
      <c r="B290" s="26" t="str">
        <v>Auto Loan</v>
      </c>
      <c r="C290" s="66">
        <f ca="1"/>
        <v>0</v>
      </c>
      <c r="D290" s="66">
        <f ca="1">IF(B290="","", ROUND(C290 * (VLOOKUP(B290, '💳 Debt Input'!$A$4:$G$9, 3, FALSE) / 12), 2))</f>
        <v>0</v>
      </c>
      <c r="E290" s="66" cm="1">
        <f t="array" aca="1" ref="E290" ca="1">IF(B290="","", ROUND(MIN(C290+D290, MAX(VLOOKUP(B290,'💳 Debt Input'!$A$4:$G$9,4,FALSE), $F$3 - IFERROR(SUM(OFFSET(E290, -MOD(ROW()-6, 6), 0, MOD(ROW()-6, 6))), 0) - IFERROR(SUM(SUMIF('💳 Debt Input'!$A$4:$A$9, OFFSET(B290, 1, 0, 5-MOD(ROW()-6, 6)), '💳 Debt Input'!$D$4:$D$9)), 0))), 2))</f>
        <v>0</v>
      </c>
      <c r="F290" s="66">
        <f t="shared" ca="1" si="10"/>
        <v>0</v>
      </c>
      <c r="G290" s="28" t="str">
        <f t="shared" ca="1" si="11"/>
        <v>Paid off</v>
      </c>
      <c r="H290" s="28"/>
    </row>
    <row r="291" spans="1:8" ht="18" customHeight="1" x14ac:dyDescent="0.35">
      <c r="A291" s="52"/>
      <c r="B291" s="26" t="str">
        <v>Travel Card</v>
      </c>
      <c r="C291" s="66">
        <f ca="1"/>
        <v>0</v>
      </c>
      <c r="D291" s="66">
        <f ca="1">IF(B291="","", ROUND(C291 * (VLOOKUP(B291, '💳 Debt Input'!$A$4:$G$9, 3, FALSE) / 12), 2))</f>
        <v>0</v>
      </c>
      <c r="E291" s="66" cm="1">
        <f t="array" aca="1" ref="E291" ca="1">IF(B291="","", ROUND(MIN(C291+D291, MAX(VLOOKUP(B291,'💳 Debt Input'!$A$4:$G$9,4,FALSE), $F$3 - IFERROR(SUM(OFFSET(E291, -MOD(ROW()-6, 6), 0, MOD(ROW()-6, 6))), 0) - IFERROR(SUM(SUMIF('💳 Debt Input'!$A$4:$A$9, OFFSET(B291, 1, 0, 5-MOD(ROW()-6, 6)), '💳 Debt Input'!$D$4:$D$9)), 0))), 2))</f>
        <v>0</v>
      </c>
      <c r="F291" s="66">
        <f t="shared" ca="1" si="10"/>
        <v>0</v>
      </c>
      <c r="G291" s="28" t="str">
        <f t="shared" ca="1" si="11"/>
        <v>Paid off</v>
      </c>
      <c r="H291" s="28"/>
    </row>
    <row r="292" spans="1:8" ht="18" customHeight="1" x14ac:dyDescent="0.35">
      <c r="A292" s="47"/>
      <c r="B292" s="8" t="str">
        <v>Rewards Visa</v>
      </c>
      <c r="C292" s="61">
        <f ca="1"/>
        <v>14373.55</v>
      </c>
      <c r="D292" s="61">
        <f ca="1">IF(B292="","", ROUND(C292 * (VLOOKUP(B292, '💳 Debt Input'!$A$4:$G$9, 3, FALSE) / 12), 2))</f>
        <v>431.21</v>
      </c>
      <c r="E292" s="61" cm="1">
        <f t="array" aca="1" ref="E292" ca="1">IF(B292="","", ROUND(MIN(C292+D292, MAX(VLOOKUP(B292,'💳 Debt Input'!$A$4:$G$9,4,FALSE), $F$3 - IFERROR(SUM(OFFSET(E292, -MOD(ROW()-6, 6), 0, MOD(ROW()-6, 6))), 0) - IFERROR(SUM(SUMIF('💳 Debt Input'!$A$4:$A$9, OFFSET(B292, 1, 0, 5-MOD(ROW()-6, 6)), '💳 Debt Input'!$D$4:$D$9)), 0))), 2))</f>
        <v>935</v>
      </c>
      <c r="F292" s="61">
        <f t="shared" ca="1" si="10"/>
        <v>13869.76</v>
      </c>
      <c r="G292" s="19" t="str">
        <f t="shared" ca="1" si="11"/>
        <v>Active</v>
      </c>
      <c r="H292" s="19"/>
    </row>
    <row r="293" spans="1:8" ht="18" customHeight="1" x14ac:dyDescent="0.35">
      <c r="A293" s="51">
        <v>48</v>
      </c>
      <c r="B293" s="56" t="str" cm="1">
        <f t="array" ref="B293:B298">B287:B292</f>
        <v>Store Card</v>
      </c>
      <c r="C293" s="65" cm="1">
        <f t="array" aca="1" ref="C293:C298" ca="1">F287:F292</f>
        <v>0</v>
      </c>
      <c r="D293" s="65">
        <f ca="1">IF(B293="","", ROUND(C293 * (VLOOKUP(B293, '💳 Debt Input'!$A$4:$G$9, 3, FALSE) / 12), 2))</f>
        <v>0</v>
      </c>
      <c r="E293" s="65" cm="1">
        <f t="array" aca="1" ref="E293" ca="1">IF(B293="","", ROUND(MIN(C293+D293, MAX(VLOOKUP(B293,'💳 Debt Input'!$A$4:$G$9,4,FALSE), $F$3 - IFERROR(SUM(OFFSET(E293, -MOD(ROW()-6, 6), 0, MOD(ROW()-6, 6))), 0) - IFERROR(SUM(SUMIF('💳 Debt Input'!$A$4:$A$9, OFFSET(B293, 1, 0, 5-MOD(ROW()-6, 6)), '💳 Debt Input'!$D$4:$D$9)), 0))), 2))</f>
        <v>0</v>
      </c>
      <c r="F293" s="65">
        <f t="shared" ca="1" si="10"/>
        <v>0</v>
      </c>
      <c r="G293" s="25" t="str">
        <f t="shared" ca="1" si="11"/>
        <v>Paid off</v>
      </c>
      <c r="H293" s="25"/>
    </row>
    <row r="294" spans="1:8" ht="18" customHeight="1" x14ac:dyDescent="0.35">
      <c r="A294" s="52"/>
      <c r="B294" s="26" t="str">
        <v>Medical Bill</v>
      </c>
      <c r="C294" s="66">
        <f ca="1"/>
        <v>0</v>
      </c>
      <c r="D294" s="66">
        <f ca="1">IF(B294="","", ROUND(C294 * (VLOOKUP(B294, '💳 Debt Input'!$A$4:$G$9, 3, FALSE) / 12), 2))</f>
        <v>0</v>
      </c>
      <c r="E294" s="66" cm="1">
        <f t="array" aca="1" ref="E294" ca="1">IF(B294="","", ROUND(MIN(C294+D294, MAX(VLOOKUP(B294,'💳 Debt Input'!$A$4:$G$9,4,FALSE), $F$3 - IFERROR(SUM(OFFSET(E294, -MOD(ROW()-6, 6), 0, MOD(ROW()-6, 6))), 0) - IFERROR(SUM(SUMIF('💳 Debt Input'!$A$4:$A$9, OFFSET(B294, 1, 0, 5-MOD(ROW()-6, 6)), '💳 Debt Input'!$D$4:$D$9)), 0))), 2))</f>
        <v>0</v>
      </c>
      <c r="F294" s="66">
        <f t="shared" ca="1" si="10"/>
        <v>0</v>
      </c>
      <c r="G294" s="28" t="str">
        <f t="shared" ca="1" si="11"/>
        <v>Paid off</v>
      </c>
      <c r="H294" s="28"/>
    </row>
    <row r="295" spans="1:8" ht="18" customHeight="1" x14ac:dyDescent="0.35">
      <c r="A295" s="52"/>
      <c r="B295" s="26" t="str">
        <v>Personal Loan</v>
      </c>
      <c r="C295" s="66">
        <f ca="1"/>
        <v>0</v>
      </c>
      <c r="D295" s="66">
        <f ca="1">IF(B295="","", ROUND(C295 * (VLOOKUP(B295, '💳 Debt Input'!$A$4:$G$9, 3, FALSE) / 12), 2))</f>
        <v>0</v>
      </c>
      <c r="E295" s="66" cm="1">
        <f t="array" aca="1" ref="E295" ca="1">IF(B295="","", ROUND(MIN(C295+D295, MAX(VLOOKUP(B295,'💳 Debt Input'!$A$4:$G$9,4,FALSE), $F$3 - IFERROR(SUM(OFFSET(E295, -MOD(ROW()-6, 6), 0, MOD(ROW()-6, 6))), 0) - IFERROR(SUM(SUMIF('💳 Debt Input'!$A$4:$A$9, OFFSET(B295, 1, 0, 5-MOD(ROW()-6, 6)), '💳 Debt Input'!$D$4:$D$9)), 0))), 2))</f>
        <v>0</v>
      </c>
      <c r="F295" s="66">
        <f t="shared" ca="1" si="10"/>
        <v>0</v>
      </c>
      <c r="G295" s="28" t="str">
        <f t="shared" ca="1" si="11"/>
        <v>Paid off</v>
      </c>
      <c r="H295" s="28"/>
    </row>
    <row r="296" spans="1:8" ht="18" customHeight="1" x14ac:dyDescent="0.35">
      <c r="A296" s="52"/>
      <c r="B296" s="26" t="str">
        <v>Auto Loan</v>
      </c>
      <c r="C296" s="66">
        <f ca="1"/>
        <v>0</v>
      </c>
      <c r="D296" s="66">
        <f ca="1">IF(B296="","", ROUND(C296 * (VLOOKUP(B296, '💳 Debt Input'!$A$4:$G$9, 3, FALSE) / 12), 2))</f>
        <v>0</v>
      </c>
      <c r="E296" s="66" cm="1">
        <f t="array" aca="1" ref="E296" ca="1">IF(B296="","", ROUND(MIN(C296+D296, MAX(VLOOKUP(B296,'💳 Debt Input'!$A$4:$G$9,4,FALSE), $F$3 - IFERROR(SUM(OFFSET(E296, -MOD(ROW()-6, 6), 0, MOD(ROW()-6, 6))), 0) - IFERROR(SUM(SUMIF('💳 Debt Input'!$A$4:$A$9, OFFSET(B296, 1, 0, 5-MOD(ROW()-6, 6)), '💳 Debt Input'!$D$4:$D$9)), 0))), 2))</f>
        <v>0</v>
      </c>
      <c r="F296" s="66">
        <f t="shared" ca="1" si="10"/>
        <v>0</v>
      </c>
      <c r="G296" s="28" t="str">
        <f t="shared" ca="1" si="11"/>
        <v>Paid off</v>
      </c>
      <c r="H296" s="28"/>
    </row>
    <row r="297" spans="1:8" ht="18" customHeight="1" x14ac:dyDescent="0.35">
      <c r="A297" s="52"/>
      <c r="B297" s="26" t="str">
        <v>Travel Card</v>
      </c>
      <c r="C297" s="66">
        <f ca="1"/>
        <v>0</v>
      </c>
      <c r="D297" s="66">
        <f ca="1">IF(B297="","", ROUND(C297 * (VLOOKUP(B297, '💳 Debt Input'!$A$4:$G$9, 3, FALSE) / 12), 2))</f>
        <v>0</v>
      </c>
      <c r="E297" s="66" cm="1">
        <f t="array" aca="1" ref="E297" ca="1">IF(B297="","", ROUND(MIN(C297+D297, MAX(VLOOKUP(B297,'💳 Debt Input'!$A$4:$G$9,4,FALSE), $F$3 - IFERROR(SUM(OFFSET(E297, -MOD(ROW()-6, 6), 0, MOD(ROW()-6, 6))), 0) - IFERROR(SUM(SUMIF('💳 Debt Input'!$A$4:$A$9, OFFSET(B297, 1, 0, 5-MOD(ROW()-6, 6)), '💳 Debt Input'!$D$4:$D$9)), 0))), 2))</f>
        <v>0</v>
      </c>
      <c r="F297" s="66">
        <f t="shared" ca="1" si="10"/>
        <v>0</v>
      </c>
      <c r="G297" s="28" t="str">
        <f t="shared" ca="1" si="11"/>
        <v>Paid off</v>
      </c>
      <c r="H297" s="28"/>
    </row>
    <row r="298" spans="1:8" ht="18" customHeight="1" x14ac:dyDescent="0.35">
      <c r="A298" s="49"/>
      <c r="B298" s="6" t="str">
        <v>Rewards Visa</v>
      </c>
      <c r="C298" s="63">
        <f ca="1"/>
        <v>13869.76</v>
      </c>
      <c r="D298" s="63">
        <f ca="1">IF(B298="","", ROUND(C298 * (VLOOKUP(B298, '💳 Debt Input'!$A$4:$G$9, 3, FALSE) / 12), 2))</f>
        <v>416.09</v>
      </c>
      <c r="E298" s="63" cm="1">
        <f t="array" aca="1" ref="E298" ca="1">IF(B298="","", ROUND(MIN(C298+D298, MAX(VLOOKUP(B298,'💳 Debt Input'!$A$4:$G$9,4,FALSE), $F$3 - IFERROR(SUM(OFFSET(E298, -MOD(ROW()-6, 6), 0, MOD(ROW()-6, 6))), 0) - IFERROR(SUM(SUMIF('💳 Debt Input'!$A$4:$A$9, OFFSET(B298, 1, 0, 5-MOD(ROW()-6, 6)), '💳 Debt Input'!$D$4:$D$9)), 0))), 2))</f>
        <v>935</v>
      </c>
      <c r="F298" s="63">
        <f t="shared" ca="1" si="10"/>
        <v>13350.85</v>
      </c>
      <c r="G298" s="22" t="str">
        <f t="shared" ca="1" si="11"/>
        <v>Active</v>
      </c>
      <c r="H298" s="22"/>
    </row>
    <row r="299" spans="1:8" ht="18" customHeight="1" x14ac:dyDescent="0.35">
      <c r="A299" s="51">
        <v>49</v>
      </c>
      <c r="B299" s="56" t="str" cm="1">
        <f t="array" ref="B299:B304">B293:B298</f>
        <v>Store Card</v>
      </c>
      <c r="C299" s="65" cm="1">
        <f t="array" aca="1" ref="C299:C304" ca="1">F293:F298</f>
        <v>0</v>
      </c>
      <c r="D299" s="65">
        <f ca="1">IF(B299="","", ROUND(C299 * (VLOOKUP(B299, '💳 Debt Input'!$A$4:$G$9, 3, FALSE) / 12), 2))</f>
        <v>0</v>
      </c>
      <c r="E299" s="65" cm="1">
        <f t="array" aca="1" ref="E299" ca="1">IF(B299="","", ROUND(MIN(C299+D299, MAX(VLOOKUP(B299,'💳 Debt Input'!$A$4:$G$9,4,FALSE), $F$3 - IFERROR(SUM(OFFSET(E299, -MOD(ROW()-6, 6), 0, MOD(ROW()-6, 6))), 0) - IFERROR(SUM(SUMIF('💳 Debt Input'!$A$4:$A$9, OFFSET(B299, 1, 0, 5-MOD(ROW()-6, 6)), '💳 Debt Input'!$D$4:$D$9)), 0))), 2))</f>
        <v>0</v>
      </c>
      <c r="F299" s="65">
        <f t="shared" ca="1" si="10"/>
        <v>0</v>
      </c>
      <c r="G299" s="25" t="str">
        <f t="shared" ca="1" si="11"/>
        <v>Paid off</v>
      </c>
      <c r="H299" s="25"/>
    </row>
    <row r="300" spans="1:8" ht="18" customHeight="1" x14ac:dyDescent="0.35">
      <c r="A300" s="52"/>
      <c r="B300" s="26" t="str">
        <v>Medical Bill</v>
      </c>
      <c r="C300" s="66">
        <f ca="1"/>
        <v>0</v>
      </c>
      <c r="D300" s="66">
        <f ca="1">IF(B300="","", ROUND(C300 * (VLOOKUP(B300, '💳 Debt Input'!$A$4:$G$9, 3, FALSE) / 12), 2))</f>
        <v>0</v>
      </c>
      <c r="E300" s="66" cm="1">
        <f t="array" aca="1" ref="E300" ca="1">IF(B300="","", ROUND(MIN(C300+D300, MAX(VLOOKUP(B300,'💳 Debt Input'!$A$4:$G$9,4,FALSE), $F$3 - IFERROR(SUM(OFFSET(E300, -MOD(ROW()-6, 6), 0, MOD(ROW()-6, 6))), 0) - IFERROR(SUM(SUMIF('💳 Debt Input'!$A$4:$A$9, OFFSET(B300, 1, 0, 5-MOD(ROW()-6, 6)), '💳 Debt Input'!$D$4:$D$9)), 0))), 2))</f>
        <v>0</v>
      </c>
      <c r="F300" s="66">
        <f t="shared" ca="1" si="10"/>
        <v>0</v>
      </c>
      <c r="G300" s="28" t="str">
        <f t="shared" ca="1" si="11"/>
        <v>Paid off</v>
      </c>
      <c r="H300" s="28"/>
    </row>
    <row r="301" spans="1:8" ht="18" customHeight="1" x14ac:dyDescent="0.35">
      <c r="A301" s="52"/>
      <c r="B301" s="26" t="str">
        <v>Personal Loan</v>
      </c>
      <c r="C301" s="66">
        <f ca="1"/>
        <v>0</v>
      </c>
      <c r="D301" s="66">
        <f ca="1">IF(B301="","", ROUND(C301 * (VLOOKUP(B301, '💳 Debt Input'!$A$4:$G$9, 3, FALSE) / 12), 2))</f>
        <v>0</v>
      </c>
      <c r="E301" s="66" cm="1">
        <f t="array" aca="1" ref="E301" ca="1">IF(B301="","", ROUND(MIN(C301+D301, MAX(VLOOKUP(B301,'💳 Debt Input'!$A$4:$G$9,4,FALSE), $F$3 - IFERROR(SUM(OFFSET(E301, -MOD(ROW()-6, 6), 0, MOD(ROW()-6, 6))), 0) - IFERROR(SUM(SUMIF('💳 Debt Input'!$A$4:$A$9, OFFSET(B301, 1, 0, 5-MOD(ROW()-6, 6)), '💳 Debt Input'!$D$4:$D$9)), 0))), 2))</f>
        <v>0</v>
      </c>
      <c r="F301" s="66">
        <f t="shared" ca="1" si="10"/>
        <v>0</v>
      </c>
      <c r="G301" s="28" t="str">
        <f t="shared" ca="1" si="11"/>
        <v>Paid off</v>
      </c>
      <c r="H301" s="28"/>
    </row>
    <row r="302" spans="1:8" ht="18" customHeight="1" x14ac:dyDescent="0.35">
      <c r="A302" s="52"/>
      <c r="B302" s="26" t="str">
        <v>Auto Loan</v>
      </c>
      <c r="C302" s="66">
        <f ca="1"/>
        <v>0</v>
      </c>
      <c r="D302" s="66">
        <f ca="1">IF(B302="","", ROUND(C302 * (VLOOKUP(B302, '💳 Debt Input'!$A$4:$G$9, 3, FALSE) / 12), 2))</f>
        <v>0</v>
      </c>
      <c r="E302" s="66" cm="1">
        <f t="array" aca="1" ref="E302" ca="1">IF(B302="","", ROUND(MIN(C302+D302, MAX(VLOOKUP(B302,'💳 Debt Input'!$A$4:$G$9,4,FALSE), $F$3 - IFERROR(SUM(OFFSET(E302, -MOD(ROW()-6, 6), 0, MOD(ROW()-6, 6))), 0) - IFERROR(SUM(SUMIF('💳 Debt Input'!$A$4:$A$9, OFFSET(B302, 1, 0, 5-MOD(ROW()-6, 6)), '💳 Debt Input'!$D$4:$D$9)), 0))), 2))</f>
        <v>0</v>
      </c>
      <c r="F302" s="66">
        <f t="shared" ca="1" si="10"/>
        <v>0</v>
      </c>
      <c r="G302" s="28" t="str">
        <f t="shared" ca="1" si="11"/>
        <v>Paid off</v>
      </c>
      <c r="H302" s="28"/>
    </row>
    <row r="303" spans="1:8" ht="18" customHeight="1" x14ac:dyDescent="0.35">
      <c r="A303" s="52"/>
      <c r="B303" s="26" t="str">
        <v>Travel Card</v>
      </c>
      <c r="C303" s="66">
        <f ca="1"/>
        <v>0</v>
      </c>
      <c r="D303" s="66">
        <f ca="1">IF(B303="","", ROUND(C303 * (VLOOKUP(B303, '💳 Debt Input'!$A$4:$G$9, 3, FALSE) / 12), 2))</f>
        <v>0</v>
      </c>
      <c r="E303" s="66" cm="1">
        <f t="array" aca="1" ref="E303" ca="1">IF(B303="","", ROUND(MIN(C303+D303, MAX(VLOOKUP(B303,'💳 Debt Input'!$A$4:$G$9,4,FALSE), $F$3 - IFERROR(SUM(OFFSET(E303, -MOD(ROW()-6, 6), 0, MOD(ROW()-6, 6))), 0) - IFERROR(SUM(SUMIF('💳 Debt Input'!$A$4:$A$9, OFFSET(B303, 1, 0, 5-MOD(ROW()-6, 6)), '💳 Debt Input'!$D$4:$D$9)), 0))), 2))</f>
        <v>0</v>
      </c>
      <c r="F303" s="66">
        <f t="shared" ca="1" si="10"/>
        <v>0</v>
      </c>
      <c r="G303" s="28" t="str">
        <f t="shared" ca="1" si="11"/>
        <v>Paid off</v>
      </c>
      <c r="H303" s="28"/>
    </row>
    <row r="304" spans="1:8" ht="18" customHeight="1" x14ac:dyDescent="0.35">
      <c r="A304" s="47"/>
      <c r="B304" s="8" t="str">
        <v>Rewards Visa</v>
      </c>
      <c r="C304" s="61">
        <f ca="1"/>
        <v>13350.85</v>
      </c>
      <c r="D304" s="61">
        <f ca="1">IF(B304="","", ROUND(C304 * (VLOOKUP(B304, '💳 Debt Input'!$A$4:$G$9, 3, FALSE) / 12), 2))</f>
        <v>400.53</v>
      </c>
      <c r="E304" s="61" cm="1">
        <f t="array" aca="1" ref="E304" ca="1">IF(B304="","", ROUND(MIN(C304+D304, MAX(VLOOKUP(B304,'💳 Debt Input'!$A$4:$G$9,4,FALSE), $F$3 - IFERROR(SUM(OFFSET(E304, -MOD(ROW()-6, 6), 0, MOD(ROW()-6, 6))), 0) - IFERROR(SUM(SUMIF('💳 Debt Input'!$A$4:$A$9, OFFSET(B304, 1, 0, 5-MOD(ROW()-6, 6)), '💳 Debt Input'!$D$4:$D$9)), 0))), 2))</f>
        <v>935</v>
      </c>
      <c r="F304" s="61">
        <f t="shared" ca="1" si="10"/>
        <v>12816.38</v>
      </c>
      <c r="G304" s="19" t="str">
        <f t="shared" ca="1" si="11"/>
        <v>Active</v>
      </c>
      <c r="H304" s="19"/>
    </row>
    <row r="305" spans="1:8" ht="18" customHeight="1" x14ac:dyDescent="0.35">
      <c r="A305" s="51">
        <v>50</v>
      </c>
      <c r="B305" s="56" t="str" cm="1">
        <f t="array" ref="B305:B310">B299:B304</f>
        <v>Store Card</v>
      </c>
      <c r="C305" s="65" cm="1">
        <f t="array" aca="1" ref="C305:C310" ca="1">F299:F304</f>
        <v>0</v>
      </c>
      <c r="D305" s="65">
        <f ca="1">IF(B305="","", ROUND(C305 * (VLOOKUP(B305, '💳 Debt Input'!$A$4:$G$9, 3, FALSE) / 12), 2))</f>
        <v>0</v>
      </c>
      <c r="E305" s="65" cm="1">
        <f t="array" aca="1" ref="E305" ca="1">IF(B305="","", ROUND(MIN(C305+D305, MAX(VLOOKUP(B305,'💳 Debt Input'!$A$4:$G$9,4,FALSE), $F$3 - IFERROR(SUM(OFFSET(E305, -MOD(ROW()-6, 6), 0, MOD(ROW()-6, 6))), 0) - IFERROR(SUM(SUMIF('💳 Debt Input'!$A$4:$A$9, OFFSET(B305, 1, 0, 5-MOD(ROW()-6, 6)), '💳 Debt Input'!$D$4:$D$9)), 0))), 2))</f>
        <v>0</v>
      </c>
      <c r="F305" s="65">
        <f t="shared" ca="1" si="10"/>
        <v>0</v>
      </c>
      <c r="G305" s="25" t="str">
        <f t="shared" ca="1" si="11"/>
        <v>Paid off</v>
      </c>
      <c r="H305" s="25"/>
    </row>
    <row r="306" spans="1:8" ht="18" customHeight="1" x14ac:dyDescent="0.35">
      <c r="A306" s="52"/>
      <c r="B306" s="26" t="str">
        <v>Medical Bill</v>
      </c>
      <c r="C306" s="66">
        <f ca="1"/>
        <v>0</v>
      </c>
      <c r="D306" s="66">
        <f ca="1">IF(B306="","", ROUND(C306 * (VLOOKUP(B306, '💳 Debt Input'!$A$4:$G$9, 3, FALSE) / 12), 2))</f>
        <v>0</v>
      </c>
      <c r="E306" s="66" cm="1">
        <f t="array" aca="1" ref="E306" ca="1">IF(B306="","", ROUND(MIN(C306+D306, MAX(VLOOKUP(B306,'💳 Debt Input'!$A$4:$G$9,4,FALSE), $F$3 - IFERROR(SUM(OFFSET(E306, -MOD(ROW()-6, 6), 0, MOD(ROW()-6, 6))), 0) - IFERROR(SUM(SUMIF('💳 Debt Input'!$A$4:$A$9, OFFSET(B306, 1, 0, 5-MOD(ROW()-6, 6)), '💳 Debt Input'!$D$4:$D$9)), 0))), 2))</f>
        <v>0</v>
      </c>
      <c r="F306" s="66">
        <f t="shared" ca="1" si="10"/>
        <v>0</v>
      </c>
      <c r="G306" s="28" t="str">
        <f t="shared" ca="1" si="11"/>
        <v>Paid off</v>
      </c>
      <c r="H306" s="28"/>
    </row>
    <row r="307" spans="1:8" ht="18" customHeight="1" x14ac:dyDescent="0.35">
      <c r="A307" s="52"/>
      <c r="B307" s="26" t="str">
        <v>Personal Loan</v>
      </c>
      <c r="C307" s="66">
        <f ca="1"/>
        <v>0</v>
      </c>
      <c r="D307" s="66">
        <f ca="1">IF(B307="","", ROUND(C307 * (VLOOKUP(B307, '💳 Debt Input'!$A$4:$G$9, 3, FALSE) / 12), 2))</f>
        <v>0</v>
      </c>
      <c r="E307" s="66" cm="1">
        <f t="array" aca="1" ref="E307" ca="1">IF(B307="","", ROUND(MIN(C307+D307, MAX(VLOOKUP(B307,'💳 Debt Input'!$A$4:$G$9,4,FALSE), $F$3 - IFERROR(SUM(OFFSET(E307, -MOD(ROW()-6, 6), 0, MOD(ROW()-6, 6))), 0) - IFERROR(SUM(SUMIF('💳 Debt Input'!$A$4:$A$9, OFFSET(B307, 1, 0, 5-MOD(ROW()-6, 6)), '💳 Debt Input'!$D$4:$D$9)), 0))), 2))</f>
        <v>0</v>
      </c>
      <c r="F307" s="66">
        <f t="shared" ca="1" si="10"/>
        <v>0</v>
      </c>
      <c r="G307" s="28" t="str">
        <f t="shared" ca="1" si="11"/>
        <v>Paid off</v>
      </c>
      <c r="H307" s="28"/>
    </row>
    <row r="308" spans="1:8" ht="18" customHeight="1" x14ac:dyDescent="0.35">
      <c r="A308" s="52"/>
      <c r="B308" s="26" t="str">
        <v>Auto Loan</v>
      </c>
      <c r="C308" s="66">
        <f ca="1"/>
        <v>0</v>
      </c>
      <c r="D308" s="66">
        <f ca="1">IF(B308="","", ROUND(C308 * (VLOOKUP(B308, '💳 Debt Input'!$A$4:$G$9, 3, FALSE) / 12), 2))</f>
        <v>0</v>
      </c>
      <c r="E308" s="66" cm="1">
        <f t="array" aca="1" ref="E308" ca="1">IF(B308="","", ROUND(MIN(C308+D308, MAX(VLOOKUP(B308,'💳 Debt Input'!$A$4:$G$9,4,FALSE), $F$3 - IFERROR(SUM(OFFSET(E308, -MOD(ROW()-6, 6), 0, MOD(ROW()-6, 6))), 0) - IFERROR(SUM(SUMIF('💳 Debt Input'!$A$4:$A$9, OFFSET(B308, 1, 0, 5-MOD(ROW()-6, 6)), '💳 Debt Input'!$D$4:$D$9)), 0))), 2))</f>
        <v>0</v>
      </c>
      <c r="F308" s="66">
        <f t="shared" ca="1" si="10"/>
        <v>0</v>
      </c>
      <c r="G308" s="28" t="str">
        <f t="shared" ca="1" si="11"/>
        <v>Paid off</v>
      </c>
      <c r="H308" s="28"/>
    </row>
    <row r="309" spans="1:8" ht="18" customHeight="1" x14ac:dyDescent="0.35">
      <c r="A309" s="52"/>
      <c r="B309" s="26" t="str">
        <v>Travel Card</v>
      </c>
      <c r="C309" s="66">
        <f ca="1"/>
        <v>0</v>
      </c>
      <c r="D309" s="66">
        <f ca="1">IF(B309="","", ROUND(C309 * (VLOOKUP(B309, '💳 Debt Input'!$A$4:$G$9, 3, FALSE) / 12), 2))</f>
        <v>0</v>
      </c>
      <c r="E309" s="66" cm="1">
        <f t="array" aca="1" ref="E309" ca="1">IF(B309="","", ROUND(MIN(C309+D309, MAX(VLOOKUP(B309,'💳 Debt Input'!$A$4:$G$9,4,FALSE), $F$3 - IFERROR(SUM(OFFSET(E309, -MOD(ROW()-6, 6), 0, MOD(ROW()-6, 6))), 0) - IFERROR(SUM(SUMIF('💳 Debt Input'!$A$4:$A$9, OFFSET(B309, 1, 0, 5-MOD(ROW()-6, 6)), '💳 Debt Input'!$D$4:$D$9)), 0))), 2))</f>
        <v>0</v>
      </c>
      <c r="F309" s="66">
        <f t="shared" ca="1" si="10"/>
        <v>0</v>
      </c>
      <c r="G309" s="28" t="str">
        <f t="shared" ca="1" si="11"/>
        <v>Paid off</v>
      </c>
      <c r="H309" s="28"/>
    </row>
    <row r="310" spans="1:8" ht="18" customHeight="1" x14ac:dyDescent="0.35">
      <c r="A310" s="49"/>
      <c r="B310" s="6" t="str">
        <v>Rewards Visa</v>
      </c>
      <c r="C310" s="63">
        <f ca="1"/>
        <v>12816.38</v>
      </c>
      <c r="D310" s="63">
        <f ca="1">IF(B310="","", ROUND(C310 * (VLOOKUP(B310, '💳 Debt Input'!$A$4:$G$9, 3, FALSE) / 12), 2))</f>
        <v>384.49</v>
      </c>
      <c r="E310" s="63" cm="1">
        <f t="array" aca="1" ref="E310" ca="1">IF(B310="","", ROUND(MIN(C310+D310, MAX(VLOOKUP(B310,'💳 Debt Input'!$A$4:$G$9,4,FALSE), $F$3 - IFERROR(SUM(OFFSET(E310, -MOD(ROW()-6, 6), 0, MOD(ROW()-6, 6))), 0) - IFERROR(SUM(SUMIF('💳 Debt Input'!$A$4:$A$9, OFFSET(B310, 1, 0, 5-MOD(ROW()-6, 6)), '💳 Debt Input'!$D$4:$D$9)), 0))), 2))</f>
        <v>935</v>
      </c>
      <c r="F310" s="63">
        <f t="shared" ca="1" si="10"/>
        <v>12265.87</v>
      </c>
      <c r="G310" s="22" t="str">
        <f t="shared" ca="1" si="11"/>
        <v>Active</v>
      </c>
      <c r="H310" s="22"/>
    </row>
    <row r="311" spans="1:8" ht="18" customHeight="1" x14ac:dyDescent="0.35">
      <c r="A311" s="51">
        <v>51</v>
      </c>
      <c r="B311" s="56" t="str" cm="1">
        <f t="array" ref="B311:B316">B305:B310</f>
        <v>Store Card</v>
      </c>
      <c r="C311" s="65" cm="1">
        <f t="array" aca="1" ref="C311:C316" ca="1">F305:F310</f>
        <v>0</v>
      </c>
      <c r="D311" s="65">
        <f ca="1">IF(B311="","", ROUND(C311 * (VLOOKUP(B311, '💳 Debt Input'!$A$4:$G$9, 3, FALSE) / 12), 2))</f>
        <v>0</v>
      </c>
      <c r="E311" s="65" cm="1">
        <f t="array" aca="1" ref="E311" ca="1">IF(B311="","", ROUND(MIN(C311+D311, MAX(VLOOKUP(B311,'💳 Debt Input'!$A$4:$G$9,4,FALSE), $F$3 - IFERROR(SUM(OFFSET(E311, -MOD(ROW()-6, 6), 0, MOD(ROW()-6, 6))), 0) - IFERROR(SUM(SUMIF('💳 Debt Input'!$A$4:$A$9, OFFSET(B311, 1, 0, 5-MOD(ROW()-6, 6)), '💳 Debt Input'!$D$4:$D$9)), 0))), 2))</f>
        <v>0</v>
      </c>
      <c r="F311" s="65">
        <f t="shared" ca="1" si="10"/>
        <v>0</v>
      </c>
      <c r="G311" s="25" t="str">
        <f t="shared" ca="1" si="11"/>
        <v>Paid off</v>
      </c>
      <c r="H311" s="25"/>
    </row>
    <row r="312" spans="1:8" ht="18" customHeight="1" x14ac:dyDescent="0.35">
      <c r="A312" s="52"/>
      <c r="B312" s="26" t="str">
        <v>Medical Bill</v>
      </c>
      <c r="C312" s="66">
        <f ca="1"/>
        <v>0</v>
      </c>
      <c r="D312" s="66">
        <f ca="1">IF(B312="","", ROUND(C312 * (VLOOKUP(B312, '💳 Debt Input'!$A$4:$G$9, 3, FALSE) / 12), 2))</f>
        <v>0</v>
      </c>
      <c r="E312" s="66" cm="1">
        <f t="array" aca="1" ref="E312" ca="1">IF(B312="","", ROUND(MIN(C312+D312, MAX(VLOOKUP(B312,'💳 Debt Input'!$A$4:$G$9,4,FALSE), $F$3 - IFERROR(SUM(OFFSET(E312, -MOD(ROW()-6, 6), 0, MOD(ROW()-6, 6))), 0) - IFERROR(SUM(SUMIF('💳 Debt Input'!$A$4:$A$9, OFFSET(B312, 1, 0, 5-MOD(ROW()-6, 6)), '💳 Debt Input'!$D$4:$D$9)), 0))), 2))</f>
        <v>0</v>
      </c>
      <c r="F312" s="66">
        <f t="shared" ca="1" si="10"/>
        <v>0</v>
      </c>
      <c r="G312" s="28" t="str">
        <f t="shared" ca="1" si="11"/>
        <v>Paid off</v>
      </c>
      <c r="H312" s="28"/>
    </row>
    <row r="313" spans="1:8" ht="18" customHeight="1" x14ac:dyDescent="0.35">
      <c r="A313" s="52"/>
      <c r="B313" s="26" t="str">
        <v>Personal Loan</v>
      </c>
      <c r="C313" s="66">
        <f ca="1"/>
        <v>0</v>
      </c>
      <c r="D313" s="66">
        <f ca="1">IF(B313="","", ROUND(C313 * (VLOOKUP(B313, '💳 Debt Input'!$A$4:$G$9, 3, FALSE) / 12), 2))</f>
        <v>0</v>
      </c>
      <c r="E313" s="66" cm="1">
        <f t="array" aca="1" ref="E313" ca="1">IF(B313="","", ROUND(MIN(C313+D313, MAX(VLOOKUP(B313,'💳 Debt Input'!$A$4:$G$9,4,FALSE), $F$3 - IFERROR(SUM(OFFSET(E313, -MOD(ROW()-6, 6), 0, MOD(ROW()-6, 6))), 0) - IFERROR(SUM(SUMIF('💳 Debt Input'!$A$4:$A$9, OFFSET(B313, 1, 0, 5-MOD(ROW()-6, 6)), '💳 Debt Input'!$D$4:$D$9)), 0))), 2))</f>
        <v>0</v>
      </c>
      <c r="F313" s="66">
        <f t="shared" ca="1" si="10"/>
        <v>0</v>
      </c>
      <c r="G313" s="28" t="str">
        <f t="shared" ca="1" si="11"/>
        <v>Paid off</v>
      </c>
      <c r="H313" s="28"/>
    </row>
    <row r="314" spans="1:8" ht="18" customHeight="1" x14ac:dyDescent="0.35">
      <c r="A314" s="52"/>
      <c r="B314" s="26" t="str">
        <v>Auto Loan</v>
      </c>
      <c r="C314" s="66">
        <f ca="1"/>
        <v>0</v>
      </c>
      <c r="D314" s="66">
        <f ca="1">IF(B314="","", ROUND(C314 * (VLOOKUP(B314, '💳 Debt Input'!$A$4:$G$9, 3, FALSE) / 12), 2))</f>
        <v>0</v>
      </c>
      <c r="E314" s="66" cm="1">
        <f t="array" aca="1" ref="E314" ca="1">IF(B314="","", ROUND(MIN(C314+D314, MAX(VLOOKUP(B314,'💳 Debt Input'!$A$4:$G$9,4,FALSE), $F$3 - IFERROR(SUM(OFFSET(E314, -MOD(ROW()-6, 6), 0, MOD(ROW()-6, 6))), 0) - IFERROR(SUM(SUMIF('💳 Debt Input'!$A$4:$A$9, OFFSET(B314, 1, 0, 5-MOD(ROW()-6, 6)), '💳 Debt Input'!$D$4:$D$9)), 0))), 2))</f>
        <v>0</v>
      </c>
      <c r="F314" s="66">
        <f t="shared" ca="1" si="10"/>
        <v>0</v>
      </c>
      <c r="G314" s="28" t="str">
        <f t="shared" ca="1" si="11"/>
        <v>Paid off</v>
      </c>
      <c r="H314" s="28"/>
    </row>
    <row r="315" spans="1:8" ht="18" customHeight="1" x14ac:dyDescent="0.35">
      <c r="A315" s="52"/>
      <c r="B315" s="26" t="str">
        <v>Travel Card</v>
      </c>
      <c r="C315" s="66">
        <f ca="1"/>
        <v>0</v>
      </c>
      <c r="D315" s="66">
        <f ca="1">IF(B315="","", ROUND(C315 * (VLOOKUP(B315, '💳 Debt Input'!$A$4:$G$9, 3, FALSE) / 12), 2))</f>
        <v>0</v>
      </c>
      <c r="E315" s="66" cm="1">
        <f t="array" aca="1" ref="E315" ca="1">IF(B315="","", ROUND(MIN(C315+D315, MAX(VLOOKUP(B315,'💳 Debt Input'!$A$4:$G$9,4,FALSE), $F$3 - IFERROR(SUM(OFFSET(E315, -MOD(ROW()-6, 6), 0, MOD(ROW()-6, 6))), 0) - IFERROR(SUM(SUMIF('💳 Debt Input'!$A$4:$A$9, OFFSET(B315, 1, 0, 5-MOD(ROW()-6, 6)), '💳 Debt Input'!$D$4:$D$9)), 0))), 2))</f>
        <v>0</v>
      </c>
      <c r="F315" s="66">
        <f t="shared" ca="1" si="10"/>
        <v>0</v>
      </c>
      <c r="G315" s="28" t="str">
        <f t="shared" ca="1" si="11"/>
        <v>Paid off</v>
      </c>
      <c r="H315" s="28"/>
    </row>
    <row r="316" spans="1:8" ht="18" customHeight="1" x14ac:dyDescent="0.35">
      <c r="A316" s="47"/>
      <c r="B316" s="8" t="str">
        <v>Rewards Visa</v>
      </c>
      <c r="C316" s="61">
        <f ca="1"/>
        <v>12265.87</v>
      </c>
      <c r="D316" s="61">
        <f ca="1">IF(B316="","", ROUND(C316 * (VLOOKUP(B316, '💳 Debt Input'!$A$4:$G$9, 3, FALSE) / 12), 2))</f>
        <v>367.98</v>
      </c>
      <c r="E316" s="61" cm="1">
        <f t="array" aca="1" ref="E316" ca="1">IF(B316="","", ROUND(MIN(C316+D316, MAX(VLOOKUP(B316,'💳 Debt Input'!$A$4:$G$9,4,FALSE), $F$3 - IFERROR(SUM(OFFSET(E316, -MOD(ROW()-6, 6), 0, MOD(ROW()-6, 6))), 0) - IFERROR(SUM(SUMIF('💳 Debt Input'!$A$4:$A$9, OFFSET(B316, 1, 0, 5-MOD(ROW()-6, 6)), '💳 Debt Input'!$D$4:$D$9)), 0))), 2))</f>
        <v>935</v>
      </c>
      <c r="F316" s="61">
        <f t="shared" ca="1" si="10"/>
        <v>11698.85</v>
      </c>
      <c r="G316" s="19" t="str">
        <f t="shared" ca="1" si="11"/>
        <v>Active</v>
      </c>
      <c r="H316" s="19"/>
    </row>
    <row r="317" spans="1:8" ht="18" customHeight="1" x14ac:dyDescent="0.35">
      <c r="A317" s="51">
        <v>52</v>
      </c>
      <c r="B317" s="56" t="str" cm="1">
        <f t="array" ref="B317:B322">B311:B316</f>
        <v>Store Card</v>
      </c>
      <c r="C317" s="65" cm="1">
        <f t="array" aca="1" ref="C317:C322" ca="1">F311:F316</f>
        <v>0</v>
      </c>
      <c r="D317" s="65">
        <f ca="1">IF(B317="","", ROUND(C317 * (VLOOKUP(B317, '💳 Debt Input'!$A$4:$G$9, 3, FALSE) / 12), 2))</f>
        <v>0</v>
      </c>
      <c r="E317" s="65" cm="1">
        <f t="array" aca="1" ref="E317" ca="1">IF(B317="","", ROUND(MIN(C317+D317, MAX(VLOOKUP(B317,'💳 Debt Input'!$A$4:$G$9,4,FALSE), $F$3 - IFERROR(SUM(OFFSET(E317, -MOD(ROW()-6, 6), 0, MOD(ROW()-6, 6))), 0) - IFERROR(SUM(SUMIF('💳 Debt Input'!$A$4:$A$9, OFFSET(B317, 1, 0, 5-MOD(ROW()-6, 6)), '💳 Debt Input'!$D$4:$D$9)), 0))), 2))</f>
        <v>0</v>
      </c>
      <c r="F317" s="65">
        <f t="shared" ca="1" si="10"/>
        <v>0</v>
      </c>
      <c r="G317" s="25" t="str">
        <f t="shared" ca="1" si="11"/>
        <v>Paid off</v>
      </c>
      <c r="H317" s="25"/>
    </row>
    <row r="318" spans="1:8" ht="18" customHeight="1" x14ac:dyDescent="0.35">
      <c r="A318" s="52"/>
      <c r="B318" s="26" t="str">
        <v>Medical Bill</v>
      </c>
      <c r="C318" s="66">
        <f ca="1"/>
        <v>0</v>
      </c>
      <c r="D318" s="66">
        <f ca="1">IF(B318="","", ROUND(C318 * (VLOOKUP(B318, '💳 Debt Input'!$A$4:$G$9, 3, FALSE) / 12), 2))</f>
        <v>0</v>
      </c>
      <c r="E318" s="66" cm="1">
        <f t="array" aca="1" ref="E318" ca="1">IF(B318="","", ROUND(MIN(C318+D318, MAX(VLOOKUP(B318,'💳 Debt Input'!$A$4:$G$9,4,FALSE), $F$3 - IFERROR(SUM(OFFSET(E318, -MOD(ROW()-6, 6), 0, MOD(ROW()-6, 6))), 0) - IFERROR(SUM(SUMIF('💳 Debt Input'!$A$4:$A$9, OFFSET(B318, 1, 0, 5-MOD(ROW()-6, 6)), '💳 Debt Input'!$D$4:$D$9)), 0))), 2))</f>
        <v>0</v>
      </c>
      <c r="F318" s="66">
        <f t="shared" ca="1" si="10"/>
        <v>0</v>
      </c>
      <c r="G318" s="28" t="str">
        <f t="shared" ca="1" si="11"/>
        <v>Paid off</v>
      </c>
      <c r="H318" s="28"/>
    </row>
    <row r="319" spans="1:8" ht="18" customHeight="1" x14ac:dyDescent="0.35">
      <c r="A319" s="52"/>
      <c r="B319" s="26" t="str">
        <v>Personal Loan</v>
      </c>
      <c r="C319" s="66">
        <f ca="1"/>
        <v>0</v>
      </c>
      <c r="D319" s="66">
        <f ca="1">IF(B319="","", ROUND(C319 * (VLOOKUP(B319, '💳 Debt Input'!$A$4:$G$9, 3, FALSE) / 12), 2))</f>
        <v>0</v>
      </c>
      <c r="E319" s="66" cm="1">
        <f t="array" aca="1" ref="E319" ca="1">IF(B319="","", ROUND(MIN(C319+D319, MAX(VLOOKUP(B319,'💳 Debt Input'!$A$4:$G$9,4,FALSE), $F$3 - IFERROR(SUM(OFFSET(E319, -MOD(ROW()-6, 6), 0, MOD(ROW()-6, 6))), 0) - IFERROR(SUM(SUMIF('💳 Debt Input'!$A$4:$A$9, OFFSET(B319, 1, 0, 5-MOD(ROW()-6, 6)), '💳 Debt Input'!$D$4:$D$9)), 0))), 2))</f>
        <v>0</v>
      </c>
      <c r="F319" s="66">
        <f t="shared" ca="1" si="10"/>
        <v>0</v>
      </c>
      <c r="G319" s="28" t="str">
        <f t="shared" ca="1" si="11"/>
        <v>Paid off</v>
      </c>
      <c r="H319" s="28"/>
    </row>
    <row r="320" spans="1:8" ht="18" customHeight="1" x14ac:dyDescent="0.35">
      <c r="A320" s="52"/>
      <c r="B320" s="26" t="str">
        <v>Auto Loan</v>
      </c>
      <c r="C320" s="66">
        <f ca="1"/>
        <v>0</v>
      </c>
      <c r="D320" s="66">
        <f ca="1">IF(B320="","", ROUND(C320 * (VLOOKUP(B320, '💳 Debt Input'!$A$4:$G$9, 3, FALSE) / 12), 2))</f>
        <v>0</v>
      </c>
      <c r="E320" s="66" cm="1">
        <f t="array" aca="1" ref="E320" ca="1">IF(B320="","", ROUND(MIN(C320+D320, MAX(VLOOKUP(B320,'💳 Debt Input'!$A$4:$G$9,4,FALSE), $F$3 - IFERROR(SUM(OFFSET(E320, -MOD(ROW()-6, 6), 0, MOD(ROW()-6, 6))), 0) - IFERROR(SUM(SUMIF('💳 Debt Input'!$A$4:$A$9, OFFSET(B320, 1, 0, 5-MOD(ROW()-6, 6)), '💳 Debt Input'!$D$4:$D$9)), 0))), 2))</f>
        <v>0</v>
      </c>
      <c r="F320" s="66">
        <f t="shared" ca="1" si="10"/>
        <v>0</v>
      </c>
      <c r="G320" s="28" t="str">
        <f t="shared" ca="1" si="11"/>
        <v>Paid off</v>
      </c>
      <c r="H320" s="28"/>
    </row>
    <row r="321" spans="1:8" ht="18" customHeight="1" x14ac:dyDescent="0.35">
      <c r="A321" s="52"/>
      <c r="B321" s="26" t="str">
        <v>Travel Card</v>
      </c>
      <c r="C321" s="66">
        <f ca="1"/>
        <v>0</v>
      </c>
      <c r="D321" s="66">
        <f ca="1">IF(B321="","", ROUND(C321 * (VLOOKUP(B321, '💳 Debt Input'!$A$4:$G$9, 3, FALSE) / 12), 2))</f>
        <v>0</v>
      </c>
      <c r="E321" s="66" cm="1">
        <f t="array" aca="1" ref="E321" ca="1">IF(B321="","", ROUND(MIN(C321+D321, MAX(VLOOKUP(B321,'💳 Debt Input'!$A$4:$G$9,4,FALSE), $F$3 - IFERROR(SUM(OFFSET(E321, -MOD(ROW()-6, 6), 0, MOD(ROW()-6, 6))), 0) - IFERROR(SUM(SUMIF('💳 Debt Input'!$A$4:$A$9, OFFSET(B321, 1, 0, 5-MOD(ROW()-6, 6)), '💳 Debt Input'!$D$4:$D$9)), 0))), 2))</f>
        <v>0</v>
      </c>
      <c r="F321" s="66">
        <f t="shared" ca="1" si="10"/>
        <v>0</v>
      </c>
      <c r="G321" s="28" t="str">
        <f t="shared" ca="1" si="11"/>
        <v>Paid off</v>
      </c>
      <c r="H321" s="28"/>
    </row>
    <row r="322" spans="1:8" ht="18" customHeight="1" x14ac:dyDescent="0.35">
      <c r="A322" s="49"/>
      <c r="B322" s="6" t="str">
        <v>Rewards Visa</v>
      </c>
      <c r="C322" s="63">
        <f ca="1"/>
        <v>11698.85</v>
      </c>
      <c r="D322" s="63">
        <f ca="1">IF(B322="","", ROUND(C322 * (VLOOKUP(B322, '💳 Debt Input'!$A$4:$G$9, 3, FALSE) / 12), 2))</f>
        <v>350.97</v>
      </c>
      <c r="E322" s="63" cm="1">
        <f t="array" aca="1" ref="E322" ca="1">IF(B322="","", ROUND(MIN(C322+D322, MAX(VLOOKUP(B322,'💳 Debt Input'!$A$4:$G$9,4,FALSE), $F$3 - IFERROR(SUM(OFFSET(E322, -MOD(ROW()-6, 6), 0, MOD(ROW()-6, 6))), 0) - IFERROR(SUM(SUMIF('💳 Debt Input'!$A$4:$A$9, OFFSET(B322, 1, 0, 5-MOD(ROW()-6, 6)), '💳 Debt Input'!$D$4:$D$9)), 0))), 2))</f>
        <v>935</v>
      </c>
      <c r="F322" s="63">
        <f t="shared" ca="1" si="10"/>
        <v>11114.82</v>
      </c>
      <c r="G322" s="22" t="str">
        <f t="shared" ca="1" si="11"/>
        <v>Active</v>
      </c>
      <c r="H322" s="22"/>
    </row>
    <row r="323" spans="1:8" ht="18" customHeight="1" x14ac:dyDescent="0.35">
      <c r="A323" s="51">
        <v>53</v>
      </c>
      <c r="B323" s="56" t="str" cm="1">
        <f t="array" ref="B323:B328">B317:B322</f>
        <v>Store Card</v>
      </c>
      <c r="C323" s="65" cm="1">
        <f t="array" aca="1" ref="C323:C328" ca="1">F317:F322</f>
        <v>0</v>
      </c>
      <c r="D323" s="65">
        <f ca="1">IF(B323="","", ROUND(C323 * (VLOOKUP(B323, '💳 Debt Input'!$A$4:$G$9, 3, FALSE) / 12), 2))</f>
        <v>0</v>
      </c>
      <c r="E323" s="65" cm="1">
        <f t="array" aca="1" ref="E323" ca="1">IF(B323="","", ROUND(MIN(C323+D323, MAX(VLOOKUP(B323,'💳 Debt Input'!$A$4:$G$9,4,FALSE), $F$3 - IFERROR(SUM(OFFSET(E323, -MOD(ROW()-6, 6), 0, MOD(ROW()-6, 6))), 0) - IFERROR(SUM(SUMIF('💳 Debt Input'!$A$4:$A$9, OFFSET(B323, 1, 0, 5-MOD(ROW()-6, 6)), '💳 Debt Input'!$D$4:$D$9)), 0))), 2))</f>
        <v>0</v>
      </c>
      <c r="F323" s="65">
        <f t="shared" ca="1" si="10"/>
        <v>0</v>
      </c>
      <c r="G323" s="25" t="str">
        <f t="shared" ca="1" si="11"/>
        <v>Paid off</v>
      </c>
      <c r="H323" s="25"/>
    </row>
    <row r="324" spans="1:8" ht="18" customHeight="1" x14ac:dyDescent="0.35">
      <c r="A324" s="52"/>
      <c r="B324" s="26" t="str">
        <v>Medical Bill</v>
      </c>
      <c r="C324" s="66">
        <f ca="1"/>
        <v>0</v>
      </c>
      <c r="D324" s="66">
        <f ca="1">IF(B324="","", ROUND(C324 * (VLOOKUP(B324, '💳 Debt Input'!$A$4:$G$9, 3, FALSE) / 12), 2))</f>
        <v>0</v>
      </c>
      <c r="E324" s="66" cm="1">
        <f t="array" aca="1" ref="E324" ca="1">IF(B324="","", ROUND(MIN(C324+D324, MAX(VLOOKUP(B324,'💳 Debt Input'!$A$4:$G$9,4,FALSE), $F$3 - IFERROR(SUM(OFFSET(E324, -MOD(ROW()-6, 6), 0, MOD(ROW()-6, 6))), 0) - IFERROR(SUM(SUMIF('💳 Debt Input'!$A$4:$A$9, OFFSET(B324, 1, 0, 5-MOD(ROW()-6, 6)), '💳 Debt Input'!$D$4:$D$9)), 0))), 2))</f>
        <v>0</v>
      </c>
      <c r="F324" s="66">
        <f t="shared" ca="1" si="10"/>
        <v>0</v>
      </c>
      <c r="G324" s="28" t="str">
        <f t="shared" ca="1" si="11"/>
        <v>Paid off</v>
      </c>
      <c r="H324" s="28"/>
    </row>
    <row r="325" spans="1:8" ht="18" customHeight="1" x14ac:dyDescent="0.35">
      <c r="A325" s="52"/>
      <c r="B325" s="26" t="str">
        <v>Personal Loan</v>
      </c>
      <c r="C325" s="66">
        <f ca="1"/>
        <v>0</v>
      </c>
      <c r="D325" s="66">
        <f ca="1">IF(B325="","", ROUND(C325 * (VLOOKUP(B325, '💳 Debt Input'!$A$4:$G$9, 3, FALSE) / 12), 2))</f>
        <v>0</v>
      </c>
      <c r="E325" s="66" cm="1">
        <f t="array" aca="1" ref="E325" ca="1">IF(B325="","", ROUND(MIN(C325+D325, MAX(VLOOKUP(B325,'💳 Debt Input'!$A$4:$G$9,4,FALSE), $F$3 - IFERROR(SUM(OFFSET(E325, -MOD(ROW()-6, 6), 0, MOD(ROW()-6, 6))), 0) - IFERROR(SUM(SUMIF('💳 Debt Input'!$A$4:$A$9, OFFSET(B325, 1, 0, 5-MOD(ROW()-6, 6)), '💳 Debt Input'!$D$4:$D$9)), 0))), 2))</f>
        <v>0</v>
      </c>
      <c r="F325" s="66">
        <f t="shared" ca="1" si="10"/>
        <v>0</v>
      </c>
      <c r="G325" s="28" t="str">
        <f t="shared" ca="1" si="11"/>
        <v>Paid off</v>
      </c>
      <c r="H325" s="28"/>
    </row>
    <row r="326" spans="1:8" ht="18" customHeight="1" x14ac:dyDescent="0.35">
      <c r="A326" s="52"/>
      <c r="B326" s="26" t="str">
        <v>Auto Loan</v>
      </c>
      <c r="C326" s="66">
        <f ca="1"/>
        <v>0</v>
      </c>
      <c r="D326" s="66">
        <f ca="1">IF(B326="","", ROUND(C326 * (VLOOKUP(B326, '💳 Debt Input'!$A$4:$G$9, 3, FALSE) / 12), 2))</f>
        <v>0</v>
      </c>
      <c r="E326" s="66" cm="1">
        <f t="array" aca="1" ref="E326" ca="1">IF(B326="","", ROUND(MIN(C326+D326, MAX(VLOOKUP(B326,'💳 Debt Input'!$A$4:$G$9,4,FALSE), $F$3 - IFERROR(SUM(OFFSET(E326, -MOD(ROW()-6, 6), 0, MOD(ROW()-6, 6))), 0) - IFERROR(SUM(SUMIF('💳 Debt Input'!$A$4:$A$9, OFFSET(B326, 1, 0, 5-MOD(ROW()-6, 6)), '💳 Debt Input'!$D$4:$D$9)), 0))), 2))</f>
        <v>0</v>
      </c>
      <c r="F326" s="66">
        <f t="shared" ca="1" si="10"/>
        <v>0</v>
      </c>
      <c r="G326" s="28" t="str">
        <f t="shared" ca="1" si="11"/>
        <v>Paid off</v>
      </c>
      <c r="H326" s="28"/>
    </row>
    <row r="327" spans="1:8" ht="18" customHeight="1" x14ac:dyDescent="0.35">
      <c r="A327" s="52"/>
      <c r="B327" s="26" t="str">
        <v>Travel Card</v>
      </c>
      <c r="C327" s="66">
        <f ca="1"/>
        <v>0</v>
      </c>
      <c r="D327" s="66">
        <f ca="1">IF(B327="","", ROUND(C327 * (VLOOKUP(B327, '💳 Debt Input'!$A$4:$G$9, 3, FALSE) / 12), 2))</f>
        <v>0</v>
      </c>
      <c r="E327" s="66" cm="1">
        <f t="array" aca="1" ref="E327" ca="1">IF(B327="","", ROUND(MIN(C327+D327, MAX(VLOOKUP(B327,'💳 Debt Input'!$A$4:$G$9,4,FALSE), $F$3 - IFERROR(SUM(OFFSET(E327, -MOD(ROW()-6, 6), 0, MOD(ROW()-6, 6))), 0) - IFERROR(SUM(SUMIF('💳 Debt Input'!$A$4:$A$9, OFFSET(B327, 1, 0, 5-MOD(ROW()-6, 6)), '💳 Debt Input'!$D$4:$D$9)), 0))), 2))</f>
        <v>0</v>
      </c>
      <c r="F327" s="66">
        <f t="shared" ca="1" si="10"/>
        <v>0</v>
      </c>
      <c r="G327" s="28" t="str">
        <f t="shared" ca="1" si="11"/>
        <v>Paid off</v>
      </c>
      <c r="H327" s="28"/>
    </row>
    <row r="328" spans="1:8" ht="18" customHeight="1" x14ac:dyDescent="0.35">
      <c r="A328" s="47"/>
      <c r="B328" s="8" t="str">
        <v>Rewards Visa</v>
      </c>
      <c r="C328" s="61">
        <f ca="1"/>
        <v>11114.82</v>
      </c>
      <c r="D328" s="61">
        <f ca="1">IF(B328="","", ROUND(C328 * (VLOOKUP(B328, '💳 Debt Input'!$A$4:$G$9, 3, FALSE) / 12), 2))</f>
        <v>333.44</v>
      </c>
      <c r="E328" s="61" cm="1">
        <f t="array" aca="1" ref="E328" ca="1">IF(B328="","", ROUND(MIN(C328+D328, MAX(VLOOKUP(B328,'💳 Debt Input'!$A$4:$G$9,4,FALSE), $F$3 - IFERROR(SUM(OFFSET(E328, -MOD(ROW()-6, 6), 0, MOD(ROW()-6, 6))), 0) - IFERROR(SUM(SUMIF('💳 Debt Input'!$A$4:$A$9, OFFSET(B328, 1, 0, 5-MOD(ROW()-6, 6)), '💳 Debt Input'!$D$4:$D$9)), 0))), 2))</f>
        <v>935</v>
      </c>
      <c r="F328" s="61">
        <f t="shared" ca="1" si="10"/>
        <v>10513.26</v>
      </c>
      <c r="G328" s="19" t="str">
        <f t="shared" ca="1" si="11"/>
        <v>Active</v>
      </c>
      <c r="H328" s="19"/>
    </row>
    <row r="329" spans="1:8" ht="18" customHeight="1" x14ac:dyDescent="0.35">
      <c r="A329" s="51">
        <v>54</v>
      </c>
      <c r="B329" s="56" t="str" cm="1">
        <f t="array" ref="B329:B334">B323:B328</f>
        <v>Store Card</v>
      </c>
      <c r="C329" s="65" cm="1">
        <f t="array" aca="1" ref="C329:C334" ca="1">F323:F328</f>
        <v>0</v>
      </c>
      <c r="D329" s="65">
        <f ca="1">IF(B329="","", ROUND(C329 * (VLOOKUP(B329, '💳 Debt Input'!$A$4:$G$9, 3, FALSE) / 12), 2))</f>
        <v>0</v>
      </c>
      <c r="E329" s="65" cm="1">
        <f t="array" aca="1" ref="E329" ca="1">IF(B329="","", ROUND(MIN(C329+D329, MAX(VLOOKUP(B329,'💳 Debt Input'!$A$4:$G$9,4,FALSE), $F$3 - IFERROR(SUM(OFFSET(E329, -MOD(ROW()-6, 6), 0, MOD(ROW()-6, 6))), 0) - IFERROR(SUM(SUMIF('💳 Debt Input'!$A$4:$A$9, OFFSET(B329, 1, 0, 5-MOD(ROW()-6, 6)), '💳 Debt Input'!$D$4:$D$9)), 0))), 2))</f>
        <v>0</v>
      </c>
      <c r="F329" s="65">
        <f t="shared" ca="1" si="10"/>
        <v>0</v>
      </c>
      <c r="G329" s="25" t="str">
        <f t="shared" ca="1" si="11"/>
        <v>Paid off</v>
      </c>
      <c r="H329" s="25"/>
    </row>
    <row r="330" spans="1:8" ht="18" customHeight="1" x14ac:dyDescent="0.35">
      <c r="A330" s="52"/>
      <c r="B330" s="26" t="str">
        <v>Medical Bill</v>
      </c>
      <c r="C330" s="66">
        <f ca="1"/>
        <v>0</v>
      </c>
      <c r="D330" s="66">
        <f ca="1">IF(B330="","", ROUND(C330 * (VLOOKUP(B330, '💳 Debt Input'!$A$4:$G$9, 3, FALSE) / 12), 2))</f>
        <v>0</v>
      </c>
      <c r="E330" s="66" cm="1">
        <f t="array" aca="1" ref="E330" ca="1">IF(B330="","", ROUND(MIN(C330+D330, MAX(VLOOKUP(B330,'💳 Debt Input'!$A$4:$G$9,4,FALSE), $F$3 - IFERROR(SUM(OFFSET(E330, -MOD(ROW()-6, 6), 0, MOD(ROW()-6, 6))), 0) - IFERROR(SUM(SUMIF('💳 Debt Input'!$A$4:$A$9, OFFSET(B330, 1, 0, 5-MOD(ROW()-6, 6)), '💳 Debt Input'!$D$4:$D$9)), 0))), 2))</f>
        <v>0</v>
      </c>
      <c r="F330" s="66">
        <f t="shared" ca="1" si="10"/>
        <v>0</v>
      </c>
      <c r="G330" s="28" t="str">
        <f t="shared" ca="1" si="11"/>
        <v>Paid off</v>
      </c>
      <c r="H330" s="28"/>
    </row>
    <row r="331" spans="1:8" ht="18" customHeight="1" x14ac:dyDescent="0.35">
      <c r="A331" s="52"/>
      <c r="B331" s="26" t="str">
        <v>Personal Loan</v>
      </c>
      <c r="C331" s="66">
        <f ca="1"/>
        <v>0</v>
      </c>
      <c r="D331" s="66">
        <f ca="1">IF(B331="","", ROUND(C331 * (VLOOKUP(B331, '💳 Debt Input'!$A$4:$G$9, 3, FALSE) / 12), 2))</f>
        <v>0</v>
      </c>
      <c r="E331" s="66" cm="1">
        <f t="array" aca="1" ref="E331" ca="1">IF(B331="","", ROUND(MIN(C331+D331, MAX(VLOOKUP(B331,'💳 Debt Input'!$A$4:$G$9,4,FALSE), $F$3 - IFERROR(SUM(OFFSET(E331, -MOD(ROW()-6, 6), 0, MOD(ROW()-6, 6))), 0) - IFERROR(SUM(SUMIF('💳 Debt Input'!$A$4:$A$9, OFFSET(B331, 1, 0, 5-MOD(ROW()-6, 6)), '💳 Debt Input'!$D$4:$D$9)), 0))), 2))</f>
        <v>0</v>
      </c>
      <c r="F331" s="66">
        <f t="shared" ca="1" si="10"/>
        <v>0</v>
      </c>
      <c r="G331" s="28" t="str">
        <f t="shared" ca="1" si="11"/>
        <v>Paid off</v>
      </c>
      <c r="H331" s="28"/>
    </row>
    <row r="332" spans="1:8" ht="18" customHeight="1" x14ac:dyDescent="0.35">
      <c r="A332" s="52"/>
      <c r="B332" s="26" t="str">
        <v>Auto Loan</v>
      </c>
      <c r="C332" s="66">
        <f ca="1"/>
        <v>0</v>
      </c>
      <c r="D332" s="66">
        <f ca="1">IF(B332="","", ROUND(C332 * (VLOOKUP(B332, '💳 Debt Input'!$A$4:$G$9, 3, FALSE) / 12), 2))</f>
        <v>0</v>
      </c>
      <c r="E332" s="66" cm="1">
        <f t="array" aca="1" ref="E332" ca="1">IF(B332="","", ROUND(MIN(C332+D332, MAX(VLOOKUP(B332,'💳 Debt Input'!$A$4:$G$9,4,FALSE), $F$3 - IFERROR(SUM(OFFSET(E332, -MOD(ROW()-6, 6), 0, MOD(ROW()-6, 6))), 0) - IFERROR(SUM(SUMIF('💳 Debt Input'!$A$4:$A$9, OFFSET(B332, 1, 0, 5-MOD(ROW()-6, 6)), '💳 Debt Input'!$D$4:$D$9)), 0))), 2))</f>
        <v>0</v>
      </c>
      <c r="F332" s="66">
        <f t="shared" ca="1" si="10"/>
        <v>0</v>
      </c>
      <c r="G332" s="28" t="str">
        <f t="shared" ca="1" si="11"/>
        <v>Paid off</v>
      </c>
      <c r="H332" s="28"/>
    </row>
    <row r="333" spans="1:8" ht="18" customHeight="1" x14ac:dyDescent="0.35">
      <c r="A333" s="52"/>
      <c r="B333" s="26" t="str">
        <v>Travel Card</v>
      </c>
      <c r="C333" s="66">
        <f ca="1"/>
        <v>0</v>
      </c>
      <c r="D333" s="66">
        <f ca="1">IF(B333="","", ROUND(C333 * (VLOOKUP(B333, '💳 Debt Input'!$A$4:$G$9, 3, FALSE) / 12), 2))</f>
        <v>0</v>
      </c>
      <c r="E333" s="66" cm="1">
        <f t="array" aca="1" ref="E333" ca="1">IF(B333="","", ROUND(MIN(C333+D333, MAX(VLOOKUP(B333,'💳 Debt Input'!$A$4:$G$9,4,FALSE), $F$3 - IFERROR(SUM(OFFSET(E333, -MOD(ROW()-6, 6), 0, MOD(ROW()-6, 6))), 0) - IFERROR(SUM(SUMIF('💳 Debt Input'!$A$4:$A$9, OFFSET(B333, 1, 0, 5-MOD(ROW()-6, 6)), '💳 Debt Input'!$D$4:$D$9)), 0))), 2))</f>
        <v>0</v>
      </c>
      <c r="F333" s="66">
        <f t="shared" ca="1" si="10"/>
        <v>0</v>
      </c>
      <c r="G333" s="28" t="str">
        <f t="shared" ca="1" si="11"/>
        <v>Paid off</v>
      </c>
      <c r="H333" s="28"/>
    </row>
    <row r="334" spans="1:8" ht="18" customHeight="1" x14ac:dyDescent="0.35">
      <c r="A334" s="49"/>
      <c r="B334" s="6" t="str">
        <v>Rewards Visa</v>
      </c>
      <c r="C334" s="63">
        <f ca="1"/>
        <v>10513.26</v>
      </c>
      <c r="D334" s="63">
        <f ca="1">IF(B334="","", ROUND(C334 * (VLOOKUP(B334, '💳 Debt Input'!$A$4:$G$9, 3, FALSE) / 12), 2))</f>
        <v>315.39999999999998</v>
      </c>
      <c r="E334" s="63" cm="1">
        <f t="array" aca="1" ref="E334" ca="1">IF(B334="","", ROUND(MIN(C334+D334, MAX(VLOOKUP(B334,'💳 Debt Input'!$A$4:$G$9,4,FALSE), $F$3 - IFERROR(SUM(OFFSET(E334, -MOD(ROW()-6, 6), 0, MOD(ROW()-6, 6))), 0) - IFERROR(SUM(SUMIF('💳 Debt Input'!$A$4:$A$9, OFFSET(B334, 1, 0, 5-MOD(ROW()-6, 6)), '💳 Debt Input'!$D$4:$D$9)), 0))), 2))</f>
        <v>935</v>
      </c>
      <c r="F334" s="63">
        <f t="shared" ca="1" si="10"/>
        <v>9893.66</v>
      </c>
      <c r="G334" s="22" t="str">
        <f t="shared" ca="1" si="11"/>
        <v>Active</v>
      </c>
      <c r="H334" s="22"/>
    </row>
    <row r="335" spans="1:8" ht="18" customHeight="1" x14ac:dyDescent="0.35">
      <c r="A335" s="51">
        <v>55</v>
      </c>
      <c r="B335" s="56" t="str" cm="1">
        <f t="array" ref="B335:B340">B329:B334</f>
        <v>Store Card</v>
      </c>
      <c r="C335" s="65" cm="1">
        <f t="array" aca="1" ref="C335:C340" ca="1">F329:F334</f>
        <v>0</v>
      </c>
      <c r="D335" s="65">
        <f ca="1">IF(B335="","", ROUND(C335 * (VLOOKUP(B335, '💳 Debt Input'!$A$4:$G$9, 3, FALSE) / 12), 2))</f>
        <v>0</v>
      </c>
      <c r="E335" s="65" cm="1">
        <f t="array" aca="1" ref="E335" ca="1">IF(B335="","", ROUND(MIN(C335+D335, MAX(VLOOKUP(B335,'💳 Debt Input'!$A$4:$G$9,4,FALSE), $F$3 - IFERROR(SUM(OFFSET(E335, -MOD(ROW()-6, 6), 0, MOD(ROW()-6, 6))), 0) - IFERROR(SUM(SUMIF('💳 Debt Input'!$A$4:$A$9, OFFSET(B335, 1, 0, 5-MOD(ROW()-6, 6)), '💳 Debt Input'!$D$4:$D$9)), 0))), 2))</f>
        <v>0</v>
      </c>
      <c r="F335" s="65">
        <f t="shared" ca="1" si="10"/>
        <v>0</v>
      </c>
      <c r="G335" s="25" t="str">
        <f t="shared" ca="1" si="11"/>
        <v>Paid off</v>
      </c>
      <c r="H335" s="25"/>
    </row>
    <row r="336" spans="1:8" ht="18" customHeight="1" x14ac:dyDescent="0.35">
      <c r="A336" s="52"/>
      <c r="B336" s="26" t="str">
        <v>Medical Bill</v>
      </c>
      <c r="C336" s="66">
        <f ca="1"/>
        <v>0</v>
      </c>
      <c r="D336" s="66">
        <f ca="1">IF(B336="","", ROUND(C336 * (VLOOKUP(B336, '💳 Debt Input'!$A$4:$G$9, 3, FALSE) / 12), 2))</f>
        <v>0</v>
      </c>
      <c r="E336" s="66" cm="1">
        <f t="array" aca="1" ref="E336" ca="1">IF(B336="","", ROUND(MIN(C336+D336, MAX(VLOOKUP(B336,'💳 Debt Input'!$A$4:$G$9,4,FALSE), $F$3 - IFERROR(SUM(OFFSET(E336, -MOD(ROW()-6, 6), 0, MOD(ROW()-6, 6))), 0) - IFERROR(SUM(SUMIF('💳 Debt Input'!$A$4:$A$9, OFFSET(B336, 1, 0, 5-MOD(ROW()-6, 6)), '💳 Debt Input'!$D$4:$D$9)), 0))), 2))</f>
        <v>0</v>
      </c>
      <c r="F336" s="66">
        <f t="shared" ca="1" si="10"/>
        <v>0</v>
      </c>
      <c r="G336" s="28" t="str">
        <f t="shared" ca="1" si="11"/>
        <v>Paid off</v>
      </c>
      <c r="H336" s="28"/>
    </row>
    <row r="337" spans="1:8" ht="18" customHeight="1" x14ac:dyDescent="0.35">
      <c r="A337" s="52"/>
      <c r="B337" s="26" t="str">
        <v>Personal Loan</v>
      </c>
      <c r="C337" s="66">
        <f ca="1"/>
        <v>0</v>
      </c>
      <c r="D337" s="66">
        <f ca="1">IF(B337="","", ROUND(C337 * (VLOOKUP(B337, '💳 Debt Input'!$A$4:$G$9, 3, FALSE) / 12), 2))</f>
        <v>0</v>
      </c>
      <c r="E337" s="66" cm="1">
        <f t="array" aca="1" ref="E337" ca="1">IF(B337="","", ROUND(MIN(C337+D337, MAX(VLOOKUP(B337,'💳 Debt Input'!$A$4:$G$9,4,FALSE), $F$3 - IFERROR(SUM(OFFSET(E337, -MOD(ROW()-6, 6), 0, MOD(ROW()-6, 6))), 0) - IFERROR(SUM(SUMIF('💳 Debt Input'!$A$4:$A$9, OFFSET(B337, 1, 0, 5-MOD(ROW()-6, 6)), '💳 Debt Input'!$D$4:$D$9)), 0))), 2))</f>
        <v>0</v>
      </c>
      <c r="F337" s="66">
        <f t="shared" ca="1" si="10"/>
        <v>0</v>
      </c>
      <c r="G337" s="28" t="str">
        <f t="shared" ca="1" si="11"/>
        <v>Paid off</v>
      </c>
      <c r="H337" s="28"/>
    </row>
    <row r="338" spans="1:8" ht="18" customHeight="1" x14ac:dyDescent="0.35">
      <c r="A338" s="52"/>
      <c r="B338" s="26" t="str">
        <v>Auto Loan</v>
      </c>
      <c r="C338" s="66">
        <f ca="1"/>
        <v>0</v>
      </c>
      <c r="D338" s="66">
        <f ca="1">IF(B338="","", ROUND(C338 * (VLOOKUP(B338, '💳 Debt Input'!$A$4:$G$9, 3, FALSE) / 12), 2))</f>
        <v>0</v>
      </c>
      <c r="E338" s="66" cm="1">
        <f t="array" aca="1" ref="E338" ca="1">IF(B338="","", ROUND(MIN(C338+D338, MAX(VLOOKUP(B338,'💳 Debt Input'!$A$4:$G$9,4,FALSE), $F$3 - IFERROR(SUM(OFFSET(E338, -MOD(ROW()-6, 6), 0, MOD(ROW()-6, 6))), 0) - IFERROR(SUM(SUMIF('💳 Debt Input'!$A$4:$A$9, OFFSET(B338, 1, 0, 5-MOD(ROW()-6, 6)), '💳 Debt Input'!$D$4:$D$9)), 0))), 2))</f>
        <v>0</v>
      </c>
      <c r="F338" s="66">
        <f t="shared" ca="1" si="10"/>
        <v>0</v>
      </c>
      <c r="G338" s="28" t="str">
        <f t="shared" ca="1" si="11"/>
        <v>Paid off</v>
      </c>
      <c r="H338" s="28"/>
    </row>
    <row r="339" spans="1:8" ht="18" customHeight="1" x14ac:dyDescent="0.35">
      <c r="A339" s="52"/>
      <c r="B339" s="26" t="str">
        <v>Travel Card</v>
      </c>
      <c r="C339" s="66">
        <f ca="1"/>
        <v>0</v>
      </c>
      <c r="D339" s="66">
        <f ca="1">IF(B339="","", ROUND(C339 * (VLOOKUP(B339, '💳 Debt Input'!$A$4:$G$9, 3, FALSE) / 12), 2))</f>
        <v>0</v>
      </c>
      <c r="E339" s="66" cm="1">
        <f t="array" aca="1" ref="E339" ca="1">IF(B339="","", ROUND(MIN(C339+D339, MAX(VLOOKUP(B339,'💳 Debt Input'!$A$4:$G$9,4,FALSE), $F$3 - IFERROR(SUM(OFFSET(E339, -MOD(ROW()-6, 6), 0, MOD(ROW()-6, 6))), 0) - IFERROR(SUM(SUMIF('💳 Debt Input'!$A$4:$A$9, OFFSET(B339, 1, 0, 5-MOD(ROW()-6, 6)), '💳 Debt Input'!$D$4:$D$9)), 0))), 2))</f>
        <v>0</v>
      </c>
      <c r="F339" s="66">
        <f t="shared" ca="1" si="10"/>
        <v>0</v>
      </c>
      <c r="G339" s="28" t="str">
        <f t="shared" ca="1" si="11"/>
        <v>Paid off</v>
      </c>
      <c r="H339" s="28"/>
    </row>
    <row r="340" spans="1:8" ht="18" customHeight="1" x14ac:dyDescent="0.35">
      <c r="A340" s="47"/>
      <c r="B340" s="8" t="str">
        <v>Rewards Visa</v>
      </c>
      <c r="C340" s="61">
        <f ca="1"/>
        <v>9893.66</v>
      </c>
      <c r="D340" s="61">
        <f ca="1">IF(B340="","", ROUND(C340 * (VLOOKUP(B340, '💳 Debt Input'!$A$4:$G$9, 3, FALSE) / 12), 2))</f>
        <v>296.81</v>
      </c>
      <c r="E340" s="61" cm="1">
        <f t="array" aca="1" ref="E340" ca="1">IF(B340="","", ROUND(MIN(C340+D340, MAX(VLOOKUP(B340,'💳 Debt Input'!$A$4:$G$9,4,FALSE), $F$3 - IFERROR(SUM(OFFSET(E340, -MOD(ROW()-6, 6), 0, MOD(ROW()-6, 6))), 0) - IFERROR(SUM(SUMIF('💳 Debt Input'!$A$4:$A$9, OFFSET(B340, 1, 0, 5-MOD(ROW()-6, 6)), '💳 Debt Input'!$D$4:$D$9)), 0))), 2))</f>
        <v>935</v>
      </c>
      <c r="F340" s="61">
        <f t="shared" ca="1" si="10"/>
        <v>9255.4699999999993</v>
      </c>
      <c r="G340" s="19" t="str">
        <f t="shared" ca="1" si="11"/>
        <v>Active</v>
      </c>
      <c r="H340" s="19"/>
    </row>
    <row r="341" spans="1:8" ht="18" customHeight="1" x14ac:dyDescent="0.35">
      <c r="A341" s="51">
        <v>56</v>
      </c>
      <c r="B341" s="56" t="str" cm="1">
        <f t="array" ref="B341:B346">B335:B340</f>
        <v>Store Card</v>
      </c>
      <c r="C341" s="65" cm="1">
        <f t="array" aca="1" ref="C341:C346" ca="1">F335:F340</f>
        <v>0</v>
      </c>
      <c r="D341" s="65">
        <f ca="1">IF(B341="","", ROUND(C341 * (VLOOKUP(B341, '💳 Debt Input'!$A$4:$G$9, 3, FALSE) / 12), 2))</f>
        <v>0</v>
      </c>
      <c r="E341" s="65" cm="1">
        <f t="array" aca="1" ref="E341" ca="1">IF(B341="","", ROUND(MIN(C341+D341, MAX(VLOOKUP(B341,'💳 Debt Input'!$A$4:$G$9,4,FALSE), $F$3 - IFERROR(SUM(OFFSET(E341, -MOD(ROW()-6, 6), 0, MOD(ROW()-6, 6))), 0) - IFERROR(SUM(SUMIF('💳 Debt Input'!$A$4:$A$9, OFFSET(B341, 1, 0, 5-MOD(ROW()-6, 6)), '💳 Debt Input'!$D$4:$D$9)), 0))), 2))</f>
        <v>0</v>
      </c>
      <c r="F341" s="65">
        <f t="shared" ca="1" si="10"/>
        <v>0</v>
      </c>
      <c r="G341" s="25" t="str">
        <f t="shared" ca="1" si="11"/>
        <v>Paid off</v>
      </c>
      <c r="H341" s="25"/>
    </row>
    <row r="342" spans="1:8" ht="18" customHeight="1" x14ac:dyDescent="0.35">
      <c r="A342" s="52"/>
      <c r="B342" s="26" t="str">
        <v>Medical Bill</v>
      </c>
      <c r="C342" s="66">
        <f ca="1"/>
        <v>0</v>
      </c>
      <c r="D342" s="66">
        <f ca="1">IF(B342="","", ROUND(C342 * (VLOOKUP(B342, '💳 Debt Input'!$A$4:$G$9, 3, FALSE) / 12), 2))</f>
        <v>0</v>
      </c>
      <c r="E342" s="66" cm="1">
        <f t="array" aca="1" ref="E342" ca="1">IF(B342="","", ROUND(MIN(C342+D342, MAX(VLOOKUP(B342,'💳 Debt Input'!$A$4:$G$9,4,FALSE), $F$3 - IFERROR(SUM(OFFSET(E342, -MOD(ROW()-6, 6), 0, MOD(ROW()-6, 6))), 0) - IFERROR(SUM(SUMIF('💳 Debt Input'!$A$4:$A$9, OFFSET(B342, 1, 0, 5-MOD(ROW()-6, 6)), '💳 Debt Input'!$D$4:$D$9)), 0))), 2))</f>
        <v>0</v>
      </c>
      <c r="F342" s="66">
        <f t="shared" ca="1" si="10"/>
        <v>0</v>
      </c>
      <c r="G342" s="28" t="str">
        <f t="shared" ca="1" si="11"/>
        <v>Paid off</v>
      </c>
      <c r="H342" s="28"/>
    </row>
    <row r="343" spans="1:8" ht="18" customHeight="1" x14ac:dyDescent="0.35">
      <c r="A343" s="52"/>
      <c r="B343" s="26" t="str">
        <v>Personal Loan</v>
      </c>
      <c r="C343" s="66">
        <f ca="1"/>
        <v>0</v>
      </c>
      <c r="D343" s="66">
        <f ca="1">IF(B343="","", ROUND(C343 * (VLOOKUP(B343, '💳 Debt Input'!$A$4:$G$9, 3, FALSE) / 12), 2))</f>
        <v>0</v>
      </c>
      <c r="E343" s="66" cm="1">
        <f t="array" aca="1" ref="E343" ca="1">IF(B343="","", ROUND(MIN(C343+D343, MAX(VLOOKUP(B343,'💳 Debt Input'!$A$4:$G$9,4,FALSE), $F$3 - IFERROR(SUM(OFFSET(E343, -MOD(ROW()-6, 6), 0, MOD(ROW()-6, 6))), 0) - IFERROR(SUM(SUMIF('💳 Debt Input'!$A$4:$A$9, OFFSET(B343, 1, 0, 5-MOD(ROW()-6, 6)), '💳 Debt Input'!$D$4:$D$9)), 0))), 2))</f>
        <v>0</v>
      </c>
      <c r="F343" s="66">
        <f t="shared" ref="F343:F394" ca="1" si="12">ROUND(MAX(0,C343+D343-E343),2)</f>
        <v>0</v>
      </c>
      <c r="G343" s="28" t="str">
        <f t="shared" ref="G343:G394" ca="1" si="13">IF(F343=0,"Paid off","Active")</f>
        <v>Paid off</v>
      </c>
      <c r="H343" s="28"/>
    </row>
    <row r="344" spans="1:8" ht="18" customHeight="1" x14ac:dyDescent="0.35">
      <c r="A344" s="52"/>
      <c r="B344" s="26" t="str">
        <v>Auto Loan</v>
      </c>
      <c r="C344" s="66">
        <f ca="1"/>
        <v>0</v>
      </c>
      <c r="D344" s="66">
        <f ca="1">IF(B344="","", ROUND(C344 * (VLOOKUP(B344, '💳 Debt Input'!$A$4:$G$9, 3, FALSE) / 12), 2))</f>
        <v>0</v>
      </c>
      <c r="E344" s="66" cm="1">
        <f t="array" aca="1" ref="E344" ca="1">IF(B344="","", ROUND(MIN(C344+D344, MAX(VLOOKUP(B344,'💳 Debt Input'!$A$4:$G$9,4,FALSE), $F$3 - IFERROR(SUM(OFFSET(E344, -MOD(ROW()-6, 6), 0, MOD(ROW()-6, 6))), 0) - IFERROR(SUM(SUMIF('💳 Debt Input'!$A$4:$A$9, OFFSET(B344, 1, 0, 5-MOD(ROW()-6, 6)), '💳 Debt Input'!$D$4:$D$9)), 0))), 2))</f>
        <v>0</v>
      </c>
      <c r="F344" s="66">
        <f t="shared" ca="1" si="12"/>
        <v>0</v>
      </c>
      <c r="G344" s="28" t="str">
        <f t="shared" ca="1" si="13"/>
        <v>Paid off</v>
      </c>
      <c r="H344" s="28"/>
    </row>
    <row r="345" spans="1:8" ht="18" customHeight="1" x14ac:dyDescent="0.35">
      <c r="A345" s="52"/>
      <c r="B345" s="26" t="str">
        <v>Travel Card</v>
      </c>
      <c r="C345" s="66">
        <f ca="1"/>
        <v>0</v>
      </c>
      <c r="D345" s="66">
        <f ca="1">IF(B345="","", ROUND(C345 * (VLOOKUP(B345, '💳 Debt Input'!$A$4:$G$9, 3, FALSE) / 12), 2))</f>
        <v>0</v>
      </c>
      <c r="E345" s="66" cm="1">
        <f t="array" aca="1" ref="E345" ca="1">IF(B345="","", ROUND(MIN(C345+D345, MAX(VLOOKUP(B345,'💳 Debt Input'!$A$4:$G$9,4,FALSE), $F$3 - IFERROR(SUM(OFFSET(E345, -MOD(ROW()-6, 6), 0, MOD(ROW()-6, 6))), 0) - IFERROR(SUM(SUMIF('💳 Debt Input'!$A$4:$A$9, OFFSET(B345, 1, 0, 5-MOD(ROW()-6, 6)), '💳 Debt Input'!$D$4:$D$9)), 0))), 2))</f>
        <v>0</v>
      </c>
      <c r="F345" s="66">
        <f t="shared" ca="1" si="12"/>
        <v>0</v>
      </c>
      <c r="G345" s="28" t="str">
        <f t="shared" ca="1" si="13"/>
        <v>Paid off</v>
      </c>
      <c r="H345" s="28"/>
    </row>
    <row r="346" spans="1:8" ht="18" customHeight="1" x14ac:dyDescent="0.35">
      <c r="A346" s="49"/>
      <c r="B346" s="6" t="str">
        <v>Rewards Visa</v>
      </c>
      <c r="C346" s="63">
        <f ca="1"/>
        <v>9255.4699999999993</v>
      </c>
      <c r="D346" s="63">
        <f ca="1">IF(B346="","", ROUND(C346 * (VLOOKUP(B346, '💳 Debt Input'!$A$4:$G$9, 3, FALSE) / 12), 2))</f>
        <v>277.66000000000003</v>
      </c>
      <c r="E346" s="63" cm="1">
        <f t="array" aca="1" ref="E346" ca="1">IF(B346="","", ROUND(MIN(C346+D346, MAX(VLOOKUP(B346,'💳 Debt Input'!$A$4:$G$9,4,FALSE), $F$3 - IFERROR(SUM(OFFSET(E346, -MOD(ROW()-6, 6), 0, MOD(ROW()-6, 6))), 0) - IFERROR(SUM(SUMIF('💳 Debt Input'!$A$4:$A$9, OFFSET(B346, 1, 0, 5-MOD(ROW()-6, 6)), '💳 Debt Input'!$D$4:$D$9)), 0))), 2))</f>
        <v>935</v>
      </c>
      <c r="F346" s="63">
        <f t="shared" ca="1" si="12"/>
        <v>8598.1299999999992</v>
      </c>
      <c r="G346" s="22" t="str">
        <f t="shared" ca="1" si="13"/>
        <v>Active</v>
      </c>
      <c r="H346" s="22"/>
    </row>
    <row r="347" spans="1:8" ht="18" customHeight="1" x14ac:dyDescent="0.35">
      <c r="A347" s="51">
        <v>57</v>
      </c>
      <c r="B347" s="56" t="str" cm="1">
        <f t="array" ref="B347:B352">B341:B346</f>
        <v>Store Card</v>
      </c>
      <c r="C347" s="65" cm="1">
        <f t="array" aca="1" ref="C347:C352" ca="1">F341:F346</f>
        <v>0</v>
      </c>
      <c r="D347" s="65">
        <f ca="1">IF(B347="","", ROUND(C347 * (VLOOKUP(B347, '💳 Debt Input'!$A$4:$G$9, 3, FALSE) / 12), 2))</f>
        <v>0</v>
      </c>
      <c r="E347" s="65" cm="1">
        <f t="array" aca="1" ref="E347" ca="1">IF(B347="","", ROUND(MIN(C347+D347, MAX(VLOOKUP(B347,'💳 Debt Input'!$A$4:$G$9,4,FALSE), $F$3 - IFERROR(SUM(OFFSET(E347, -MOD(ROW()-6, 6), 0, MOD(ROW()-6, 6))), 0) - IFERROR(SUM(SUMIF('💳 Debt Input'!$A$4:$A$9, OFFSET(B347, 1, 0, 5-MOD(ROW()-6, 6)), '💳 Debt Input'!$D$4:$D$9)), 0))), 2))</f>
        <v>0</v>
      </c>
      <c r="F347" s="65">
        <f t="shared" ca="1" si="12"/>
        <v>0</v>
      </c>
      <c r="G347" s="25" t="str">
        <f t="shared" ca="1" si="13"/>
        <v>Paid off</v>
      </c>
      <c r="H347" s="25"/>
    </row>
    <row r="348" spans="1:8" ht="18" customHeight="1" x14ac:dyDescent="0.35">
      <c r="A348" s="52"/>
      <c r="B348" s="26" t="str">
        <v>Medical Bill</v>
      </c>
      <c r="C348" s="66">
        <f ca="1"/>
        <v>0</v>
      </c>
      <c r="D348" s="66">
        <f ca="1">IF(B348="","", ROUND(C348 * (VLOOKUP(B348, '💳 Debt Input'!$A$4:$G$9, 3, FALSE) / 12), 2))</f>
        <v>0</v>
      </c>
      <c r="E348" s="66" cm="1">
        <f t="array" aca="1" ref="E348" ca="1">IF(B348="","", ROUND(MIN(C348+D348, MAX(VLOOKUP(B348,'💳 Debt Input'!$A$4:$G$9,4,FALSE), $F$3 - IFERROR(SUM(OFFSET(E348, -MOD(ROW()-6, 6), 0, MOD(ROW()-6, 6))), 0) - IFERROR(SUM(SUMIF('💳 Debt Input'!$A$4:$A$9, OFFSET(B348, 1, 0, 5-MOD(ROW()-6, 6)), '💳 Debt Input'!$D$4:$D$9)), 0))), 2))</f>
        <v>0</v>
      </c>
      <c r="F348" s="66">
        <f t="shared" ca="1" si="12"/>
        <v>0</v>
      </c>
      <c r="G348" s="28" t="str">
        <f t="shared" ca="1" si="13"/>
        <v>Paid off</v>
      </c>
      <c r="H348" s="28"/>
    </row>
    <row r="349" spans="1:8" ht="18" customHeight="1" x14ac:dyDescent="0.35">
      <c r="A349" s="52"/>
      <c r="B349" s="26" t="str">
        <v>Personal Loan</v>
      </c>
      <c r="C349" s="66">
        <f ca="1"/>
        <v>0</v>
      </c>
      <c r="D349" s="66">
        <f ca="1">IF(B349="","", ROUND(C349 * (VLOOKUP(B349, '💳 Debt Input'!$A$4:$G$9, 3, FALSE) / 12), 2))</f>
        <v>0</v>
      </c>
      <c r="E349" s="66" cm="1">
        <f t="array" aca="1" ref="E349" ca="1">IF(B349="","", ROUND(MIN(C349+D349, MAX(VLOOKUP(B349,'💳 Debt Input'!$A$4:$G$9,4,FALSE), $F$3 - IFERROR(SUM(OFFSET(E349, -MOD(ROW()-6, 6), 0, MOD(ROW()-6, 6))), 0) - IFERROR(SUM(SUMIF('💳 Debt Input'!$A$4:$A$9, OFFSET(B349, 1, 0, 5-MOD(ROW()-6, 6)), '💳 Debt Input'!$D$4:$D$9)), 0))), 2))</f>
        <v>0</v>
      </c>
      <c r="F349" s="66">
        <f t="shared" ca="1" si="12"/>
        <v>0</v>
      </c>
      <c r="G349" s="28" t="str">
        <f t="shared" ca="1" si="13"/>
        <v>Paid off</v>
      </c>
      <c r="H349" s="28"/>
    </row>
    <row r="350" spans="1:8" ht="18" customHeight="1" x14ac:dyDescent="0.35">
      <c r="A350" s="52"/>
      <c r="B350" s="26" t="str">
        <v>Auto Loan</v>
      </c>
      <c r="C350" s="66">
        <f ca="1"/>
        <v>0</v>
      </c>
      <c r="D350" s="66">
        <f ca="1">IF(B350="","", ROUND(C350 * (VLOOKUP(B350, '💳 Debt Input'!$A$4:$G$9, 3, FALSE) / 12), 2))</f>
        <v>0</v>
      </c>
      <c r="E350" s="66" cm="1">
        <f t="array" aca="1" ref="E350" ca="1">IF(B350="","", ROUND(MIN(C350+D350, MAX(VLOOKUP(B350,'💳 Debt Input'!$A$4:$G$9,4,FALSE), $F$3 - IFERROR(SUM(OFFSET(E350, -MOD(ROW()-6, 6), 0, MOD(ROW()-6, 6))), 0) - IFERROR(SUM(SUMIF('💳 Debt Input'!$A$4:$A$9, OFFSET(B350, 1, 0, 5-MOD(ROW()-6, 6)), '💳 Debt Input'!$D$4:$D$9)), 0))), 2))</f>
        <v>0</v>
      </c>
      <c r="F350" s="66">
        <f t="shared" ca="1" si="12"/>
        <v>0</v>
      </c>
      <c r="G350" s="28" t="str">
        <f t="shared" ca="1" si="13"/>
        <v>Paid off</v>
      </c>
      <c r="H350" s="28"/>
    </row>
    <row r="351" spans="1:8" ht="18" customHeight="1" x14ac:dyDescent="0.35">
      <c r="A351" s="52"/>
      <c r="B351" s="26" t="str">
        <v>Travel Card</v>
      </c>
      <c r="C351" s="66">
        <f ca="1"/>
        <v>0</v>
      </c>
      <c r="D351" s="66">
        <f ca="1">IF(B351="","", ROUND(C351 * (VLOOKUP(B351, '💳 Debt Input'!$A$4:$G$9, 3, FALSE) / 12), 2))</f>
        <v>0</v>
      </c>
      <c r="E351" s="66" cm="1">
        <f t="array" aca="1" ref="E351" ca="1">IF(B351="","", ROUND(MIN(C351+D351, MAX(VLOOKUP(B351,'💳 Debt Input'!$A$4:$G$9,4,FALSE), $F$3 - IFERROR(SUM(OFFSET(E351, -MOD(ROW()-6, 6), 0, MOD(ROW()-6, 6))), 0) - IFERROR(SUM(SUMIF('💳 Debt Input'!$A$4:$A$9, OFFSET(B351, 1, 0, 5-MOD(ROW()-6, 6)), '💳 Debt Input'!$D$4:$D$9)), 0))), 2))</f>
        <v>0</v>
      </c>
      <c r="F351" s="66">
        <f t="shared" ca="1" si="12"/>
        <v>0</v>
      </c>
      <c r="G351" s="28" t="str">
        <f t="shared" ca="1" si="13"/>
        <v>Paid off</v>
      </c>
      <c r="H351" s="28"/>
    </row>
    <row r="352" spans="1:8" ht="18" customHeight="1" x14ac:dyDescent="0.35">
      <c r="A352" s="47"/>
      <c r="B352" s="8" t="str">
        <v>Rewards Visa</v>
      </c>
      <c r="C352" s="61">
        <f ca="1"/>
        <v>8598.1299999999992</v>
      </c>
      <c r="D352" s="61">
        <f ca="1">IF(B352="","", ROUND(C352 * (VLOOKUP(B352, '💳 Debt Input'!$A$4:$G$9, 3, FALSE) / 12), 2))</f>
        <v>257.94</v>
      </c>
      <c r="E352" s="61" cm="1">
        <f t="array" aca="1" ref="E352" ca="1">IF(B352="","", ROUND(MIN(C352+D352, MAX(VLOOKUP(B352,'💳 Debt Input'!$A$4:$G$9,4,FALSE), $F$3 - IFERROR(SUM(OFFSET(E352, -MOD(ROW()-6, 6), 0, MOD(ROW()-6, 6))), 0) - IFERROR(SUM(SUMIF('💳 Debt Input'!$A$4:$A$9, OFFSET(B352, 1, 0, 5-MOD(ROW()-6, 6)), '💳 Debt Input'!$D$4:$D$9)), 0))), 2))</f>
        <v>935</v>
      </c>
      <c r="F352" s="61">
        <f t="shared" ca="1" si="12"/>
        <v>7921.07</v>
      </c>
      <c r="G352" s="19" t="str">
        <f t="shared" ca="1" si="13"/>
        <v>Active</v>
      </c>
      <c r="H352" s="19"/>
    </row>
    <row r="353" spans="1:8" ht="18" customHeight="1" x14ac:dyDescent="0.35">
      <c r="A353" s="51">
        <v>58</v>
      </c>
      <c r="B353" s="56" t="str" cm="1">
        <f t="array" ref="B353:B358">B347:B352</f>
        <v>Store Card</v>
      </c>
      <c r="C353" s="65" cm="1">
        <f t="array" aca="1" ref="C353:C358" ca="1">F347:F352</f>
        <v>0</v>
      </c>
      <c r="D353" s="65">
        <f ca="1">IF(B353="","", ROUND(C353 * (VLOOKUP(B353, '💳 Debt Input'!$A$4:$G$9, 3, FALSE) / 12), 2))</f>
        <v>0</v>
      </c>
      <c r="E353" s="65" cm="1">
        <f t="array" aca="1" ref="E353" ca="1">IF(B353="","", ROUND(MIN(C353+D353, MAX(VLOOKUP(B353,'💳 Debt Input'!$A$4:$G$9,4,FALSE), $F$3 - IFERROR(SUM(OFFSET(E353, -MOD(ROW()-6, 6), 0, MOD(ROW()-6, 6))), 0) - IFERROR(SUM(SUMIF('💳 Debt Input'!$A$4:$A$9, OFFSET(B353, 1, 0, 5-MOD(ROW()-6, 6)), '💳 Debt Input'!$D$4:$D$9)), 0))), 2))</f>
        <v>0</v>
      </c>
      <c r="F353" s="65">
        <f t="shared" ca="1" si="12"/>
        <v>0</v>
      </c>
      <c r="G353" s="25" t="str">
        <f t="shared" ca="1" si="13"/>
        <v>Paid off</v>
      </c>
      <c r="H353" s="25"/>
    </row>
    <row r="354" spans="1:8" ht="18" customHeight="1" x14ac:dyDescent="0.35">
      <c r="A354" s="52"/>
      <c r="B354" s="26" t="str">
        <v>Medical Bill</v>
      </c>
      <c r="C354" s="66">
        <f ca="1"/>
        <v>0</v>
      </c>
      <c r="D354" s="66">
        <f ca="1">IF(B354="","", ROUND(C354 * (VLOOKUP(B354, '💳 Debt Input'!$A$4:$G$9, 3, FALSE) / 12), 2))</f>
        <v>0</v>
      </c>
      <c r="E354" s="66" cm="1">
        <f t="array" aca="1" ref="E354" ca="1">IF(B354="","", ROUND(MIN(C354+D354, MAX(VLOOKUP(B354,'💳 Debt Input'!$A$4:$G$9,4,FALSE), $F$3 - IFERROR(SUM(OFFSET(E354, -MOD(ROW()-6, 6), 0, MOD(ROW()-6, 6))), 0) - IFERROR(SUM(SUMIF('💳 Debt Input'!$A$4:$A$9, OFFSET(B354, 1, 0, 5-MOD(ROW()-6, 6)), '💳 Debt Input'!$D$4:$D$9)), 0))), 2))</f>
        <v>0</v>
      </c>
      <c r="F354" s="66">
        <f t="shared" ca="1" si="12"/>
        <v>0</v>
      </c>
      <c r="G354" s="28" t="str">
        <f t="shared" ca="1" si="13"/>
        <v>Paid off</v>
      </c>
      <c r="H354" s="28"/>
    </row>
    <row r="355" spans="1:8" ht="18" customHeight="1" x14ac:dyDescent="0.35">
      <c r="A355" s="52"/>
      <c r="B355" s="26" t="str">
        <v>Personal Loan</v>
      </c>
      <c r="C355" s="66">
        <f ca="1"/>
        <v>0</v>
      </c>
      <c r="D355" s="66">
        <f ca="1">IF(B355="","", ROUND(C355 * (VLOOKUP(B355, '💳 Debt Input'!$A$4:$G$9, 3, FALSE) / 12), 2))</f>
        <v>0</v>
      </c>
      <c r="E355" s="66" cm="1">
        <f t="array" aca="1" ref="E355" ca="1">IF(B355="","", ROUND(MIN(C355+D355, MAX(VLOOKUP(B355,'💳 Debt Input'!$A$4:$G$9,4,FALSE), $F$3 - IFERROR(SUM(OFFSET(E355, -MOD(ROW()-6, 6), 0, MOD(ROW()-6, 6))), 0) - IFERROR(SUM(SUMIF('💳 Debt Input'!$A$4:$A$9, OFFSET(B355, 1, 0, 5-MOD(ROW()-6, 6)), '💳 Debt Input'!$D$4:$D$9)), 0))), 2))</f>
        <v>0</v>
      </c>
      <c r="F355" s="66">
        <f t="shared" ca="1" si="12"/>
        <v>0</v>
      </c>
      <c r="G355" s="28" t="str">
        <f t="shared" ca="1" si="13"/>
        <v>Paid off</v>
      </c>
      <c r="H355" s="28"/>
    </row>
    <row r="356" spans="1:8" ht="18" customHeight="1" x14ac:dyDescent="0.35">
      <c r="A356" s="52"/>
      <c r="B356" s="26" t="str">
        <v>Auto Loan</v>
      </c>
      <c r="C356" s="66">
        <f ca="1"/>
        <v>0</v>
      </c>
      <c r="D356" s="66">
        <f ca="1">IF(B356="","", ROUND(C356 * (VLOOKUP(B356, '💳 Debt Input'!$A$4:$G$9, 3, FALSE) / 12), 2))</f>
        <v>0</v>
      </c>
      <c r="E356" s="66" cm="1">
        <f t="array" aca="1" ref="E356" ca="1">IF(B356="","", ROUND(MIN(C356+D356, MAX(VLOOKUP(B356,'💳 Debt Input'!$A$4:$G$9,4,FALSE), $F$3 - IFERROR(SUM(OFFSET(E356, -MOD(ROW()-6, 6), 0, MOD(ROW()-6, 6))), 0) - IFERROR(SUM(SUMIF('💳 Debt Input'!$A$4:$A$9, OFFSET(B356, 1, 0, 5-MOD(ROW()-6, 6)), '💳 Debt Input'!$D$4:$D$9)), 0))), 2))</f>
        <v>0</v>
      </c>
      <c r="F356" s="66">
        <f t="shared" ca="1" si="12"/>
        <v>0</v>
      </c>
      <c r="G356" s="28" t="str">
        <f t="shared" ca="1" si="13"/>
        <v>Paid off</v>
      </c>
      <c r="H356" s="28"/>
    </row>
    <row r="357" spans="1:8" ht="18" customHeight="1" x14ac:dyDescent="0.35">
      <c r="A357" s="52"/>
      <c r="B357" s="26" t="str">
        <v>Travel Card</v>
      </c>
      <c r="C357" s="66">
        <f ca="1"/>
        <v>0</v>
      </c>
      <c r="D357" s="66">
        <f ca="1">IF(B357="","", ROUND(C357 * (VLOOKUP(B357, '💳 Debt Input'!$A$4:$G$9, 3, FALSE) / 12), 2))</f>
        <v>0</v>
      </c>
      <c r="E357" s="66" cm="1">
        <f t="array" aca="1" ref="E357" ca="1">IF(B357="","", ROUND(MIN(C357+D357, MAX(VLOOKUP(B357,'💳 Debt Input'!$A$4:$G$9,4,FALSE), $F$3 - IFERROR(SUM(OFFSET(E357, -MOD(ROW()-6, 6), 0, MOD(ROW()-6, 6))), 0) - IFERROR(SUM(SUMIF('💳 Debt Input'!$A$4:$A$9, OFFSET(B357, 1, 0, 5-MOD(ROW()-6, 6)), '💳 Debt Input'!$D$4:$D$9)), 0))), 2))</f>
        <v>0</v>
      </c>
      <c r="F357" s="66">
        <f t="shared" ca="1" si="12"/>
        <v>0</v>
      </c>
      <c r="G357" s="28" t="str">
        <f t="shared" ca="1" si="13"/>
        <v>Paid off</v>
      </c>
      <c r="H357" s="28"/>
    </row>
    <row r="358" spans="1:8" ht="18" customHeight="1" x14ac:dyDescent="0.35">
      <c r="A358" s="49"/>
      <c r="B358" s="6" t="str">
        <v>Rewards Visa</v>
      </c>
      <c r="C358" s="63">
        <f ca="1"/>
        <v>7921.07</v>
      </c>
      <c r="D358" s="63">
        <f ca="1">IF(B358="","", ROUND(C358 * (VLOOKUP(B358, '💳 Debt Input'!$A$4:$G$9, 3, FALSE) / 12), 2))</f>
        <v>237.63</v>
      </c>
      <c r="E358" s="63" cm="1">
        <f t="array" aca="1" ref="E358" ca="1">IF(B358="","", ROUND(MIN(C358+D358, MAX(VLOOKUP(B358,'💳 Debt Input'!$A$4:$G$9,4,FALSE), $F$3 - IFERROR(SUM(OFFSET(E358, -MOD(ROW()-6, 6), 0, MOD(ROW()-6, 6))), 0) - IFERROR(SUM(SUMIF('💳 Debt Input'!$A$4:$A$9, OFFSET(B358, 1, 0, 5-MOD(ROW()-6, 6)), '💳 Debt Input'!$D$4:$D$9)), 0))), 2))</f>
        <v>935</v>
      </c>
      <c r="F358" s="63">
        <f t="shared" ca="1" si="12"/>
        <v>7223.7</v>
      </c>
      <c r="G358" s="22" t="str">
        <f t="shared" ca="1" si="13"/>
        <v>Active</v>
      </c>
      <c r="H358" s="22"/>
    </row>
    <row r="359" spans="1:8" ht="18" customHeight="1" x14ac:dyDescent="0.35">
      <c r="A359" s="51">
        <v>59</v>
      </c>
      <c r="B359" s="56" t="str" cm="1">
        <f t="array" ref="B359:B364">B353:B358</f>
        <v>Store Card</v>
      </c>
      <c r="C359" s="65" cm="1">
        <f t="array" aca="1" ref="C359:C364" ca="1">F353:F358</f>
        <v>0</v>
      </c>
      <c r="D359" s="65">
        <f ca="1">IF(B359="","", ROUND(C359 * (VLOOKUP(B359, '💳 Debt Input'!$A$4:$G$9, 3, FALSE) / 12), 2))</f>
        <v>0</v>
      </c>
      <c r="E359" s="65" cm="1">
        <f t="array" aca="1" ref="E359" ca="1">IF(B359="","", ROUND(MIN(C359+D359, MAX(VLOOKUP(B359,'💳 Debt Input'!$A$4:$G$9,4,FALSE), $F$3 - IFERROR(SUM(OFFSET(E359, -MOD(ROW()-6, 6), 0, MOD(ROW()-6, 6))), 0) - IFERROR(SUM(SUMIF('💳 Debt Input'!$A$4:$A$9, OFFSET(B359, 1, 0, 5-MOD(ROW()-6, 6)), '💳 Debt Input'!$D$4:$D$9)), 0))), 2))</f>
        <v>0</v>
      </c>
      <c r="F359" s="65">
        <f t="shared" ca="1" si="12"/>
        <v>0</v>
      </c>
      <c r="G359" s="25" t="str">
        <f t="shared" ca="1" si="13"/>
        <v>Paid off</v>
      </c>
      <c r="H359" s="25"/>
    </row>
    <row r="360" spans="1:8" ht="18" customHeight="1" x14ac:dyDescent="0.35">
      <c r="A360" s="52"/>
      <c r="B360" s="26" t="str">
        <v>Medical Bill</v>
      </c>
      <c r="C360" s="66">
        <f ca="1"/>
        <v>0</v>
      </c>
      <c r="D360" s="66">
        <f ca="1">IF(B360="","", ROUND(C360 * (VLOOKUP(B360, '💳 Debt Input'!$A$4:$G$9, 3, FALSE) / 12), 2))</f>
        <v>0</v>
      </c>
      <c r="E360" s="66" cm="1">
        <f t="array" aca="1" ref="E360" ca="1">IF(B360="","", ROUND(MIN(C360+D360, MAX(VLOOKUP(B360,'💳 Debt Input'!$A$4:$G$9,4,FALSE), $F$3 - IFERROR(SUM(OFFSET(E360, -MOD(ROW()-6, 6), 0, MOD(ROW()-6, 6))), 0) - IFERROR(SUM(SUMIF('💳 Debt Input'!$A$4:$A$9, OFFSET(B360, 1, 0, 5-MOD(ROW()-6, 6)), '💳 Debt Input'!$D$4:$D$9)), 0))), 2))</f>
        <v>0</v>
      </c>
      <c r="F360" s="66">
        <f t="shared" ca="1" si="12"/>
        <v>0</v>
      </c>
      <c r="G360" s="28" t="str">
        <f t="shared" ca="1" si="13"/>
        <v>Paid off</v>
      </c>
      <c r="H360" s="28"/>
    </row>
    <row r="361" spans="1:8" ht="18" customHeight="1" x14ac:dyDescent="0.35">
      <c r="A361" s="52"/>
      <c r="B361" s="26" t="str">
        <v>Personal Loan</v>
      </c>
      <c r="C361" s="66">
        <f ca="1"/>
        <v>0</v>
      </c>
      <c r="D361" s="66">
        <f ca="1">IF(B361="","", ROUND(C361 * (VLOOKUP(B361, '💳 Debt Input'!$A$4:$G$9, 3, FALSE) / 12), 2))</f>
        <v>0</v>
      </c>
      <c r="E361" s="66" cm="1">
        <f t="array" aca="1" ref="E361" ca="1">IF(B361="","", ROUND(MIN(C361+D361, MAX(VLOOKUP(B361,'💳 Debt Input'!$A$4:$G$9,4,FALSE), $F$3 - IFERROR(SUM(OFFSET(E361, -MOD(ROW()-6, 6), 0, MOD(ROW()-6, 6))), 0) - IFERROR(SUM(SUMIF('💳 Debt Input'!$A$4:$A$9, OFFSET(B361, 1, 0, 5-MOD(ROW()-6, 6)), '💳 Debt Input'!$D$4:$D$9)), 0))), 2))</f>
        <v>0</v>
      </c>
      <c r="F361" s="66">
        <f t="shared" ca="1" si="12"/>
        <v>0</v>
      </c>
      <c r="G361" s="28" t="str">
        <f t="shared" ca="1" si="13"/>
        <v>Paid off</v>
      </c>
      <c r="H361" s="28"/>
    </row>
    <row r="362" spans="1:8" ht="18" customHeight="1" x14ac:dyDescent="0.35">
      <c r="A362" s="52"/>
      <c r="B362" s="26" t="str">
        <v>Auto Loan</v>
      </c>
      <c r="C362" s="66">
        <f ca="1"/>
        <v>0</v>
      </c>
      <c r="D362" s="66">
        <f ca="1">IF(B362="","", ROUND(C362 * (VLOOKUP(B362, '💳 Debt Input'!$A$4:$G$9, 3, FALSE) / 12), 2))</f>
        <v>0</v>
      </c>
      <c r="E362" s="66" cm="1">
        <f t="array" aca="1" ref="E362" ca="1">IF(B362="","", ROUND(MIN(C362+D362, MAX(VLOOKUP(B362,'💳 Debt Input'!$A$4:$G$9,4,FALSE), $F$3 - IFERROR(SUM(OFFSET(E362, -MOD(ROW()-6, 6), 0, MOD(ROW()-6, 6))), 0) - IFERROR(SUM(SUMIF('💳 Debt Input'!$A$4:$A$9, OFFSET(B362, 1, 0, 5-MOD(ROW()-6, 6)), '💳 Debt Input'!$D$4:$D$9)), 0))), 2))</f>
        <v>0</v>
      </c>
      <c r="F362" s="66">
        <f t="shared" ca="1" si="12"/>
        <v>0</v>
      </c>
      <c r="G362" s="28" t="str">
        <f t="shared" ca="1" si="13"/>
        <v>Paid off</v>
      </c>
      <c r="H362" s="28"/>
    </row>
    <row r="363" spans="1:8" ht="18" customHeight="1" x14ac:dyDescent="0.35">
      <c r="A363" s="52"/>
      <c r="B363" s="26" t="str">
        <v>Travel Card</v>
      </c>
      <c r="C363" s="66">
        <f ca="1"/>
        <v>0</v>
      </c>
      <c r="D363" s="66">
        <f ca="1">IF(B363="","", ROUND(C363 * (VLOOKUP(B363, '💳 Debt Input'!$A$4:$G$9, 3, FALSE) / 12), 2))</f>
        <v>0</v>
      </c>
      <c r="E363" s="66" cm="1">
        <f t="array" aca="1" ref="E363" ca="1">IF(B363="","", ROUND(MIN(C363+D363, MAX(VLOOKUP(B363,'💳 Debt Input'!$A$4:$G$9,4,FALSE), $F$3 - IFERROR(SUM(OFFSET(E363, -MOD(ROW()-6, 6), 0, MOD(ROW()-6, 6))), 0) - IFERROR(SUM(SUMIF('💳 Debt Input'!$A$4:$A$9, OFFSET(B363, 1, 0, 5-MOD(ROW()-6, 6)), '💳 Debt Input'!$D$4:$D$9)), 0))), 2))</f>
        <v>0</v>
      </c>
      <c r="F363" s="66">
        <f t="shared" ca="1" si="12"/>
        <v>0</v>
      </c>
      <c r="G363" s="28" t="str">
        <f t="shared" ca="1" si="13"/>
        <v>Paid off</v>
      </c>
      <c r="H363" s="28"/>
    </row>
    <row r="364" spans="1:8" ht="18" customHeight="1" x14ac:dyDescent="0.35">
      <c r="A364" s="47"/>
      <c r="B364" s="8" t="str">
        <v>Rewards Visa</v>
      </c>
      <c r="C364" s="61">
        <f ca="1"/>
        <v>7223.7</v>
      </c>
      <c r="D364" s="61">
        <f ca="1">IF(B364="","", ROUND(C364 * (VLOOKUP(B364, '💳 Debt Input'!$A$4:$G$9, 3, FALSE) / 12), 2))</f>
        <v>216.71</v>
      </c>
      <c r="E364" s="61" cm="1">
        <f t="array" aca="1" ref="E364" ca="1">IF(B364="","", ROUND(MIN(C364+D364, MAX(VLOOKUP(B364,'💳 Debt Input'!$A$4:$G$9,4,FALSE), $F$3 - IFERROR(SUM(OFFSET(E364, -MOD(ROW()-6, 6), 0, MOD(ROW()-6, 6))), 0) - IFERROR(SUM(SUMIF('💳 Debt Input'!$A$4:$A$9, OFFSET(B364, 1, 0, 5-MOD(ROW()-6, 6)), '💳 Debt Input'!$D$4:$D$9)), 0))), 2))</f>
        <v>935</v>
      </c>
      <c r="F364" s="61">
        <f t="shared" ca="1" si="12"/>
        <v>6505.41</v>
      </c>
      <c r="G364" s="19" t="str">
        <f t="shared" ca="1" si="13"/>
        <v>Active</v>
      </c>
      <c r="H364" s="19"/>
    </row>
    <row r="365" spans="1:8" ht="18" customHeight="1" x14ac:dyDescent="0.35">
      <c r="A365" s="51">
        <v>60</v>
      </c>
      <c r="B365" s="56" t="str" cm="1">
        <f t="array" ref="B365:B370">B359:B364</f>
        <v>Store Card</v>
      </c>
      <c r="C365" s="65" cm="1">
        <f t="array" aca="1" ref="C365:C370" ca="1">F359:F364</f>
        <v>0</v>
      </c>
      <c r="D365" s="65">
        <f ca="1">IF(B365="","", ROUND(C365 * (VLOOKUP(B365, '💳 Debt Input'!$A$4:$G$9, 3, FALSE) / 12), 2))</f>
        <v>0</v>
      </c>
      <c r="E365" s="65" cm="1">
        <f t="array" aca="1" ref="E365" ca="1">IF(B365="","", ROUND(MIN(C365+D365, MAX(VLOOKUP(B365,'💳 Debt Input'!$A$4:$G$9,4,FALSE), $F$3 - IFERROR(SUM(OFFSET(E365, -MOD(ROW()-6, 6), 0, MOD(ROW()-6, 6))), 0) - IFERROR(SUM(SUMIF('💳 Debt Input'!$A$4:$A$9, OFFSET(B365, 1, 0, 5-MOD(ROW()-6, 6)), '💳 Debt Input'!$D$4:$D$9)), 0))), 2))</f>
        <v>0</v>
      </c>
      <c r="F365" s="65">
        <f t="shared" ca="1" si="12"/>
        <v>0</v>
      </c>
      <c r="G365" s="25" t="str">
        <f t="shared" ca="1" si="13"/>
        <v>Paid off</v>
      </c>
      <c r="H365" s="25"/>
    </row>
    <row r="366" spans="1:8" ht="18" customHeight="1" x14ac:dyDescent="0.35">
      <c r="A366" s="52"/>
      <c r="B366" s="26" t="str">
        <v>Medical Bill</v>
      </c>
      <c r="C366" s="66">
        <f ca="1"/>
        <v>0</v>
      </c>
      <c r="D366" s="66">
        <f ca="1">IF(B366="","", ROUND(C366 * (VLOOKUP(B366, '💳 Debt Input'!$A$4:$G$9, 3, FALSE) / 12), 2))</f>
        <v>0</v>
      </c>
      <c r="E366" s="66" cm="1">
        <f t="array" aca="1" ref="E366" ca="1">IF(B366="","", ROUND(MIN(C366+D366, MAX(VLOOKUP(B366,'💳 Debt Input'!$A$4:$G$9,4,FALSE), $F$3 - IFERROR(SUM(OFFSET(E366, -MOD(ROW()-6, 6), 0, MOD(ROW()-6, 6))), 0) - IFERROR(SUM(SUMIF('💳 Debt Input'!$A$4:$A$9, OFFSET(B366, 1, 0, 5-MOD(ROW()-6, 6)), '💳 Debt Input'!$D$4:$D$9)), 0))), 2))</f>
        <v>0</v>
      </c>
      <c r="F366" s="66">
        <f t="shared" ca="1" si="12"/>
        <v>0</v>
      </c>
      <c r="G366" s="28" t="str">
        <f t="shared" ca="1" si="13"/>
        <v>Paid off</v>
      </c>
      <c r="H366" s="28"/>
    </row>
    <row r="367" spans="1:8" ht="18" customHeight="1" x14ac:dyDescent="0.35">
      <c r="A367" s="52"/>
      <c r="B367" s="26" t="str">
        <v>Personal Loan</v>
      </c>
      <c r="C367" s="66">
        <f ca="1"/>
        <v>0</v>
      </c>
      <c r="D367" s="66">
        <f ca="1">IF(B367="","", ROUND(C367 * (VLOOKUP(B367, '💳 Debt Input'!$A$4:$G$9, 3, FALSE) / 12), 2))</f>
        <v>0</v>
      </c>
      <c r="E367" s="66" cm="1">
        <f t="array" aca="1" ref="E367" ca="1">IF(B367="","", ROUND(MIN(C367+D367, MAX(VLOOKUP(B367,'💳 Debt Input'!$A$4:$G$9,4,FALSE), $F$3 - IFERROR(SUM(OFFSET(E367, -MOD(ROW()-6, 6), 0, MOD(ROW()-6, 6))), 0) - IFERROR(SUM(SUMIF('💳 Debt Input'!$A$4:$A$9, OFFSET(B367, 1, 0, 5-MOD(ROW()-6, 6)), '💳 Debt Input'!$D$4:$D$9)), 0))), 2))</f>
        <v>0</v>
      </c>
      <c r="F367" s="66">
        <f t="shared" ca="1" si="12"/>
        <v>0</v>
      </c>
      <c r="G367" s="28" t="str">
        <f t="shared" ca="1" si="13"/>
        <v>Paid off</v>
      </c>
      <c r="H367" s="28"/>
    </row>
    <row r="368" spans="1:8" ht="18" customHeight="1" x14ac:dyDescent="0.35">
      <c r="A368" s="52"/>
      <c r="B368" s="26" t="str">
        <v>Auto Loan</v>
      </c>
      <c r="C368" s="66">
        <f ca="1"/>
        <v>0</v>
      </c>
      <c r="D368" s="66">
        <f ca="1">IF(B368="","", ROUND(C368 * (VLOOKUP(B368, '💳 Debt Input'!$A$4:$G$9, 3, FALSE) / 12), 2))</f>
        <v>0</v>
      </c>
      <c r="E368" s="66" cm="1">
        <f t="array" aca="1" ref="E368" ca="1">IF(B368="","", ROUND(MIN(C368+D368, MAX(VLOOKUP(B368,'💳 Debt Input'!$A$4:$G$9,4,FALSE), $F$3 - IFERROR(SUM(OFFSET(E368, -MOD(ROW()-6, 6), 0, MOD(ROW()-6, 6))), 0) - IFERROR(SUM(SUMIF('💳 Debt Input'!$A$4:$A$9, OFFSET(B368, 1, 0, 5-MOD(ROW()-6, 6)), '💳 Debt Input'!$D$4:$D$9)), 0))), 2))</f>
        <v>0</v>
      </c>
      <c r="F368" s="66">
        <f t="shared" ca="1" si="12"/>
        <v>0</v>
      </c>
      <c r="G368" s="28" t="str">
        <f t="shared" ca="1" si="13"/>
        <v>Paid off</v>
      </c>
      <c r="H368" s="28"/>
    </row>
    <row r="369" spans="1:8" ht="18" customHeight="1" x14ac:dyDescent="0.35">
      <c r="A369" s="52"/>
      <c r="B369" s="26" t="str">
        <v>Travel Card</v>
      </c>
      <c r="C369" s="66">
        <f ca="1"/>
        <v>0</v>
      </c>
      <c r="D369" s="66">
        <f ca="1">IF(B369="","", ROUND(C369 * (VLOOKUP(B369, '💳 Debt Input'!$A$4:$G$9, 3, FALSE) / 12), 2))</f>
        <v>0</v>
      </c>
      <c r="E369" s="66" cm="1">
        <f t="array" aca="1" ref="E369" ca="1">IF(B369="","", ROUND(MIN(C369+D369, MAX(VLOOKUP(B369,'💳 Debt Input'!$A$4:$G$9,4,FALSE), $F$3 - IFERROR(SUM(OFFSET(E369, -MOD(ROW()-6, 6), 0, MOD(ROW()-6, 6))), 0) - IFERROR(SUM(SUMIF('💳 Debt Input'!$A$4:$A$9, OFFSET(B369, 1, 0, 5-MOD(ROW()-6, 6)), '💳 Debt Input'!$D$4:$D$9)), 0))), 2))</f>
        <v>0</v>
      </c>
      <c r="F369" s="66">
        <f t="shared" ca="1" si="12"/>
        <v>0</v>
      </c>
      <c r="G369" s="28" t="str">
        <f t="shared" ca="1" si="13"/>
        <v>Paid off</v>
      </c>
      <c r="H369" s="28"/>
    </row>
    <row r="370" spans="1:8" ht="18" customHeight="1" x14ac:dyDescent="0.35">
      <c r="A370" s="49"/>
      <c r="B370" s="6" t="str">
        <v>Rewards Visa</v>
      </c>
      <c r="C370" s="63">
        <f ca="1"/>
        <v>6505.41</v>
      </c>
      <c r="D370" s="63">
        <f ca="1">IF(B370="","", ROUND(C370 * (VLOOKUP(B370, '💳 Debt Input'!$A$4:$G$9, 3, FALSE) / 12), 2))</f>
        <v>195.16</v>
      </c>
      <c r="E370" s="63" cm="1">
        <f t="array" aca="1" ref="E370" ca="1">IF(B370="","", ROUND(MIN(C370+D370, MAX(VLOOKUP(B370,'💳 Debt Input'!$A$4:$G$9,4,FALSE), $F$3 - IFERROR(SUM(OFFSET(E370, -MOD(ROW()-6, 6), 0, MOD(ROW()-6, 6))), 0) - IFERROR(SUM(SUMIF('💳 Debt Input'!$A$4:$A$9, OFFSET(B370, 1, 0, 5-MOD(ROW()-6, 6)), '💳 Debt Input'!$D$4:$D$9)), 0))), 2))</f>
        <v>935</v>
      </c>
      <c r="F370" s="63">
        <f t="shared" ca="1" si="12"/>
        <v>5765.57</v>
      </c>
      <c r="G370" s="22" t="str">
        <f t="shared" ca="1" si="13"/>
        <v>Active</v>
      </c>
      <c r="H370" s="22"/>
    </row>
    <row r="371" spans="1:8" ht="18" customHeight="1" x14ac:dyDescent="0.35">
      <c r="A371" s="51">
        <v>61</v>
      </c>
      <c r="B371" s="56" t="str" cm="1">
        <f t="array" ref="B371:B376">B365:B370</f>
        <v>Store Card</v>
      </c>
      <c r="C371" s="65" cm="1">
        <f t="array" aca="1" ref="C371:C376" ca="1">F365:F370</f>
        <v>0</v>
      </c>
      <c r="D371" s="65">
        <f ca="1">IF(B371="","", ROUND(C371 * (VLOOKUP(B371, '💳 Debt Input'!$A$4:$G$9, 3, FALSE) / 12), 2))</f>
        <v>0</v>
      </c>
      <c r="E371" s="65" cm="1">
        <f t="array" aca="1" ref="E371" ca="1">IF(B371="","", ROUND(MIN(C371+D371, MAX(VLOOKUP(B371,'💳 Debt Input'!$A$4:$G$9,4,FALSE), $F$3 - IFERROR(SUM(OFFSET(E371, -MOD(ROW()-6, 6), 0, MOD(ROW()-6, 6))), 0) - IFERROR(SUM(SUMIF('💳 Debt Input'!$A$4:$A$9, OFFSET(B371, 1, 0, 5-MOD(ROW()-6, 6)), '💳 Debt Input'!$D$4:$D$9)), 0))), 2))</f>
        <v>0</v>
      </c>
      <c r="F371" s="65">
        <f t="shared" ca="1" si="12"/>
        <v>0</v>
      </c>
      <c r="G371" s="25" t="str">
        <f t="shared" ca="1" si="13"/>
        <v>Paid off</v>
      </c>
      <c r="H371" s="25"/>
    </row>
    <row r="372" spans="1:8" ht="18" customHeight="1" x14ac:dyDescent="0.35">
      <c r="A372" s="52"/>
      <c r="B372" s="26" t="str">
        <v>Medical Bill</v>
      </c>
      <c r="C372" s="66">
        <f ca="1"/>
        <v>0</v>
      </c>
      <c r="D372" s="66">
        <f ca="1">IF(B372="","", ROUND(C372 * (VLOOKUP(B372, '💳 Debt Input'!$A$4:$G$9, 3, FALSE) / 12), 2))</f>
        <v>0</v>
      </c>
      <c r="E372" s="66" cm="1">
        <f t="array" aca="1" ref="E372" ca="1">IF(B372="","", ROUND(MIN(C372+D372, MAX(VLOOKUP(B372,'💳 Debt Input'!$A$4:$G$9,4,FALSE), $F$3 - IFERROR(SUM(OFFSET(E372, -MOD(ROW()-6, 6), 0, MOD(ROW()-6, 6))), 0) - IFERROR(SUM(SUMIF('💳 Debt Input'!$A$4:$A$9, OFFSET(B372, 1, 0, 5-MOD(ROW()-6, 6)), '💳 Debt Input'!$D$4:$D$9)), 0))), 2))</f>
        <v>0</v>
      </c>
      <c r="F372" s="66">
        <f t="shared" ca="1" si="12"/>
        <v>0</v>
      </c>
      <c r="G372" s="28" t="str">
        <f t="shared" ca="1" si="13"/>
        <v>Paid off</v>
      </c>
      <c r="H372" s="28"/>
    </row>
    <row r="373" spans="1:8" ht="18" customHeight="1" x14ac:dyDescent="0.35">
      <c r="A373" s="52"/>
      <c r="B373" s="26" t="str">
        <v>Personal Loan</v>
      </c>
      <c r="C373" s="66">
        <f ca="1"/>
        <v>0</v>
      </c>
      <c r="D373" s="66">
        <f ca="1">IF(B373="","", ROUND(C373 * (VLOOKUP(B373, '💳 Debt Input'!$A$4:$G$9, 3, FALSE) / 12), 2))</f>
        <v>0</v>
      </c>
      <c r="E373" s="66" cm="1">
        <f t="array" aca="1" ref="E373" ca="1">IF(B373="","", ROUND(MIN(C373+D373, MAX(VLOOKUP(B373,'💳 Debt Input'!$A$4:$G$9,4,FALSE), $F$3 - IFERROR(SUM(OFFSET(E373, -MOD(ROW()-6, 6), 0, MOD(ROW()-6, 6))), 0) - IFERROR(SUM(SUMIF('💳 Debt Input'!$A$4:$A$9, OFFSET(B373, 1, 0, 5-MOD(ROW()-6, 6)), '💳 Debt Input'!$D$4:$D$9)), 0))), 2))</f>
        <v>0</v>
      </c>
      <c r="F373" s="66">
        <f t="shared" ca="1" si="12"/>
        <v>0</v>
      </c>
      <c r="G373" s="28" t="str">
        <f t="shared" ca="1" si="13"/>
        <v>Paid off</v>
      </c>
      <c r="H373" s="28"/>
    </row>
    <row r="374" spans="1:8" ht="18" customHeight="1" x14ac:dyDescent="0.35">
      <c r="A374" s="52"/>
      <c r="B374" s="26" t="str">
        <v>Auto Loan</v>
      </c>
      <c r="C374" s="66">
        <f ca="1"/>
        <v>0</v>
      </c>
      <c r="D374" s="66">
        <f ca="1">IF(B374="","", ROUND(C374 * (VLOOKUP(B374, '💳 Debt Input'!$A$4:$G$9, 3, FALSE) / 12), 2))</f>
        <v>0</v>
      </c>
      <c r="E374" s="66" cm="1">
        <f t="array" aca="1" ref="E374" ca="1">IF(B374="","", ROUND(MIN(C374+D374, MAX(VLOOKUP(B374,'💳 Debt Input'!$A$4:$G$9,4,FALSE), $F$3 - IFERROR(SUM(OFFSET(E374, -MOD(ROW()-6, 6), 0, MOD(ROW()-6, 6))), 0) - IFERROR(SUM(SUMIF('💳 Debt Input'!$A$4:$A$9, OFFSET(B374, 1, 0, 5-MOD(ROW()-6, 6)), '💳 Debt Input'!$D$4:$D$9)), 0))), 2))</f>
        <v>0</v>
      </c>
      <c r="F374" s="66">
        <f t="shared" ca="1" si="12"/>
        <v>0</v>
      </c>
      <c r="G374" s="28" t="str">
        <f t="shared" ca="1" si="13"/>
        <v>Paid off</v>
      </c>
      <c r="H374" s="28"/>
    </row>
    <row r="375" spans="1:8" ht="18" customHeight="1" x14ac:dyDescent="0.35">
      <c r="A375" s="52"/>
      <c r="B375" s="26" t="str">
        <v>Travel Card</v>
      </c>
      <c r="C375" s="66">
        <f ca="1"/>
        <v>0</v>
      </c>
      <c r="D375" s="66">
        <f ca="1">IF(B375="","", ROUND(C375 * (VLOOKUP(B375, '💳 Debt Input'!$A$4:$G$9, 3, FALSE) / 12), 2))</f>
        <v>0</v>
      </c>
      <c r="E375" s="66" cm="1">
        <f t="array" aca="1" ref="E375" ca="1">IF(B375="","", ROUND(MIN(C375+D375, MAX(VLOOKUP(B375,'💳 Debt Input'!$A$4:$G$9,4,FALSE), $F$3 - IFERROR(SUM(OFFSET(E375, -MOD(ROW()-6, 6), 0, MOD(ROW()-6, 6))), 0) - IFERROR(SUM(SUMIF('💳 Debt Input'!$A$4:$A$9, OFFSET(B375, 1, 0, 5-MOD(ROW()-6, 6)), '💳 Debt Input'!$D$4:$D$9)), 0))), 2))</f>
        <v>0</v>
      </c>
      <c r="F375" s="66">
        <f t="shared" ca="1" si="12"/>
        <v>0</v>
      </c>
      <c r="G375" s="28" t="str">
        <f t="shared" ca="1" si="13"/>
        <v>Paid off</v>
      </c>
      <c r="H375" s="28"/>
    </row>
    <row r="376" spans="1:8" ht="18" customHeight="1" x14ac:dyDescent="0.35">
      <c r="A376" s="47"/>
      <c r="B376" s="8" t="str">
        <v>Rewards Visa</v>
      </c>
      <c r="C376" s="61">
        <f ca="1"/>
        <v>5765.57</v>
      </c>
      <c r="D376" s="61">
        <f ca="1">IF(B376="","", ROUND(C376 * (VLOOKUP(B376, '💳 Debt Input'!$A$4:$G$9, 3, FALSE) / 12), 2))</f>
        <v>172.97</v>
      </c>
      <c r="E376" s="61" cm="1">
        <f t="array" aca="1" ref="E376" ca="1">IF(B376="","", ROUND(MIN(C376+D376, MAX(VLOOKUP(B376,'💳 Debt Input'!$A$4:$G$9,4,FALSE), $F$3 - IFERROR(SUM(OFFSET(E376, -MOD(ROW()-6, 6), 0, MOD(ROW()-6, 6))), 0) - IFERROR(SUM(SUMIF('💳 Debt Input'!$A$4:$A$9, OFFSET(B376, 1, 0, 5-MOD(ROW()-6, 6)), '💳 Debt Input'!$D$4:$D$9)), 0))), 2))</f>
        <v>935</v>
      </c>
      <c r="F376" s="61">
        <f t="shared" ca="1" si="12"/>
        <v>5003.54</v>
      </c>
      <c r="G376" s="19" t="str">
        <f t="shared" ca="1" si="13"/>
        <v>Active</v>
      </c>
      <c r="H376" s="19"/>
    </row>
    <row r="377" spans="1:8" ht="18" customHeight="1" x14ac:dyDescent="0.35">
      <c r="A377" s="51">
        <v>62</v>
      </c>
      <c r="B377" s="56" t="str" cm="1">
        <f t="array" ref="B377:B382">B371:B376</f>
        <v>Store Card</v>
      </c>
      <c r="C377" s="65" cm="1">
        <f t="array" aca="1" ref="C377:C382" ca="1">F371:F376</f>
        <v>0</v>
      </c>
      <c r="D377" s="65">
        <f ca="1">IF(B377="","", ROUND(C377 * (VLOOKUP(B377, '💳 Debt Input'!$A$4:$G$9, 3, FALSE) / 12), 2))</f>
        <v>0</v>
      </c>
      <c r="E377" s="65" cm="1">
        <f t="array" aca="1" ref="E377" ca="1">IF(B377="","", ROUND(MIN(C377+D377, MAX(VLOOKUP(B377,'💳 Debt Input'!$A$4:$G$9,4,FALSE), $F$3 - IFERROR(SUM(OFFSET(E377, -MOD(ROW()-6, 6), 0, MOD(ROW()-6, 6))), 0) - IFERROR(SUM(SUMIF('💳 Debt Input'!$A$4:$A$9, OFFSET(B377, 1, 0, 5-MOD(ROW()-6, 6)), '💳 Debt Input'!$D$4:$D$9)), 0))), 2))</f>
        <v>0</v>
      </c>
      <c r="F377" s="65">
        <f t="shared" ca="1" si="12"/>
        <v>0</v>
      </c>
      <c r="G377" s="25" t="str">
        <f t="shared" ca="1" si="13"/>
        <v>Paid off</v>
      </c>
      <c r="H377" s="25"/>
    </row>
    <row r="378" spans="1:8" ht="18" customHeight="1" x14ac:dyDescent="0.35">
      <c r="A378" s="52"/>
      <c r="B378" s="26" t="str">
        <v>Medical Bill</v>
      </c>
      <c r="C378" s="66">
        <f ca="1"/>
        <v>0</v>
      </c>
      <c r="D378" s="66">
        <f ca="1">IF(B378="","", ROUND(C378 * (VLOOKUP(B378, '💳 Debt Input'!$A$4:$G$9, 3, FALSE) / 12), 2))</f>
        <v>0</v>
      </c>
      <c r="E378" s="66" cm="1">
        <f t="array" aca="1" ref="E378" ca="1">IF(B378="","", ROUND(MIN(C378+D378, MAX(VLOOKUP(B378,'💳 Debt Input'!$A$4:$G$9,4,FALSE), $F$3 - IFERROR(SUM(OFFSET(E378, -MOD(ROW()-6, 6), 0, MOD(ROW()-6, 6))), 0) - IFERROR(SUM(SUMIF('💳 Debt Input'!$A$4:$A$9, OFFSET(B378, 1, 0, 5-MOD(ROW()-6, 6)), '💳 Debt Input'!$D$4:$D$9)), 0))), 2))</f>
        <v>0</v>
      </c>
      <c r="F378" s="66">
        <f t="shared" ca="1" si="12"/>
        <v>0</v>
      </c>
      <c r="G378" s="28" t="str">
        <f t="shared" ca="1" si="13"/>
        <v>Paid off</v>
      </c>
      <c r="H378" s="28"/>
    </row>
    <row r="379" spans="1:8" ht="18" customHeight="1" x14ac:dyDescent="0.35">
      <c r="A379" s="52"/>
      <c r="B379" s="26" t="str">
        <v>Personal Loan</v>
      </c>
      <c r="C379" s="66">
        <f ca="1"/>
        <v>0</v>
      </c>
      <c r="D379" s="66">
        <f ca="1">IF(B379="","", ROUND(C379 * (VLOOKUP(B379, '💳 Debt Input'!$A$4:$G$9, 3, FALSE) / 12), 2))</f>
        <v>0</v>
      </c>
      <c r="E379" s="66" cm="1">
        <f t="array" aca="1" ref="E379" ca="1">IF(B379="","", ROUND(MIN(C379+D379, MAX(VLOOKUP(B379,'💳 Debt Input'!$A$4:$G$9,4,FALSE), $F$3 - IFERROR(SUM(OFFSET(E379, -MOD(ROW()-6, 6), 0, MOD(ROW()-6, 6))), 0) - IFERROR(SUM(SUMIF('💳 Debt Input'!$A$4:$A$9, OFFSET(B379, 1, 0, 5-MOD(ROW()-6, 6)), '💳 Debt Input'!$D$4:$D$9)), 0))), 2))</f>
        <v>0</v>
      </c>
      <c r="F379" s="66">
        <f t="shared" ca="1" si="12"/>
        <v>0</v>
      </c>
      <c r="G379" s="28" t="str">
        <f t="shared" ca="1" si="13"/>
        <v>Paid off</v>
      </c>
      <c r="H379" s="28"/>
    </row>
    <row r="380" spans="1:8" ht="18" customHeight="1" x14ac:dyDescent="0.35">
      <c r="A380" s="52"/>
      <c r="B380" s="26" t="str">
        <v>Auto Loan</v>
      </c>
      <c r="C380" s="66">
        <f ca="1"/>
        <v>0</v>
      </c>
      <c r="D380" s="66">
        <f ca="1">IF(B380="","", ROUND(C380 * (VLOOKUP(B380, '💳 Debt Input'!$A$4:$G$9, 3, FALSE) / 12), 2))</f>
        <v>0</v>
      </c>
      <c r="E380" s="66" cm="1">
        <f t="array" aca="1" ref="E380" ca="1">IF(B380="","", ROUND(MIN(C380+D380, MAX(VLOOKUP(B380,'💳 Debt Input'!$A$4:$G$9,4,FALSE), $F$3 - IFERROR(SUM(OFFSET(E380, -MOD(ROW()-6, 6), 0, MOD(ROW()-6, 6))), 0) - IFERROR(SUM(SUMIF('💳 Debt Input'!$A$4:$A$9, OFFSET(B380, 1, 0, 5-MOD(ROW()-6, 6)), '💳 Debt Input'!$D$4:$D$9)), 0))), 2))</f>
        <v>0</v>
      </c>
      <c r="F380" s="66">
        <f t="shared" ca="1" si="12"/>
        <v>0</v>
      </c>
      <c r="G380" s="28" t="str">
        <f t="shared" ca="1" si="13"/>
        <v>Paid off</v>
      </c>
      <c r="H380" s="28"/>
    </row>
    <row r="381" spans="1:8" ht="18" customHeight="1" x14ac:dyDescent="0.35">
      <c r="A381" s="52"/>
      <c r="B381" s="26" t="str">
        <v>Travel Card</v>
      </c>
      <c r="C381" s="66">
        <f ca="1"/>
        <v>0</v>
      </c>
      <c r="D381" s="66">
        <f ca="1">IF(B381="","", ROUND(C381 * (VLOOKUP(B381, '💳 Debt Input'!$A$4:$G$9, 3, FALSE) / 12), 2))</f>
        <v>0</v>
      </c>
      <c r="E381" s="66" cm="1">
        <f t="array" aca="1" ref="E381" ca="1">IF(B381="","", ROUND(MIN(C381+D381, MAX(VLOOKUP(B381,'💳 Debt Input'!$A$4:$G$9,4,FALSE), $F$3 - IFERROR(SUM(OFFSET(E381, -MOD(ROW()-6, 6), 0, MOD(ROW()-6, 6))), 0) - IFERROR(SUM(SUMIF('💳 Debt Input'!$A$4:$A$9, OFFSET(B381, 1, 0, 5-MOD(ROW()-6, 6)), '💳 Debt Input'!$D$4:$D$9)), 0))), 2))</f>
        <v>0</v>
      </c>
      <c r="F381" s="66">
        <f t="shared" ca="1" si="12"/>
        <v>0</v>
      </c>
      <c r="G381" s="28" t="str">
        <f t="shared" ca="1" si="13"/>
        <v>Paid off</v>
      </c>
      <c r="H381" s="28"/>
    </row>
    <row r="382" spans="1:8" ht="18" customHeight="1" x14ac:dyDescent="0.35">
      <c r="A382" s="49"/>
      <c r="B382" s="6" t="str">
        <v>Rewards Visa</v>
      </c>
      <c r="C382" s="63">
        <f ca="1"/>
        <v>5003.54</v>
      </c>
      <c r="D382" s="63">
        <f ca="1">IF(B382="","", ROUND(C382 * (VLOOKUP(B382, '💳 Debt Input'!$A$4:$G$9, 3, FALSE) / 12), 2))</f>
        <v>150.11000000000001</v>
      </c>
      <c r="E382" s="63" cm="1">
        <f t="array" aca="1" ref="E382" ca="1">IF(B382="","", ROUND(MIN(C382+D382, MAX(VLOOKUP(B382,'💳 Debt Input'!$A$4:$G$9,4,FALSE), $F$3 - IFERROR(SUM(OFFSET(E382, -MOD(ROW()-6, 6), 0, MOD(ROW()-6, 6))), 0) - IFERROR(SUM(SUMIF('💳 Debt Input'!$A$4:$A$9, OFFSET(B382, 1, 0, 5-MOD(ROW()-6, 6)), '💳 Debt Input'!$D$4:$D$9)), 0))), 2))</f>
        <v>935</v>
      </c>
      <c r="F382" s="63">
        <f t="shared" ca="1" si="12"/>
        <v>4218.6499999999996</v>
      </c>
      <c r="G382" s="22" t="str">
        <f t="shared" ca="1" si="13"/>
        <v>Active</v>
      </c>
      <c r="H382" s="22"/>
    </row>
    <row r="383" spans="1:8" ht="18" customHeight="1" x14ac:dyDescent="0.35">
      <c r="A383" s="51">
        <v>63</v>
      </c>
      <c r="B383" s="56" t="str" cm="1">
        <f t="array" ref="B383:B388">B377:B382</f>
        <v>Store Card</v>
      </c>
      <c r="C383" s="65" cm="1">
        <f t="array" aca="1" ref="C383:C388" ca="1">F377:F382</f>
        <v>0</v>
      </c>
      <c r="D383" s="65">
        <f ca="1">IF(B383="","", ROUND(C383 * (VLOOKUP(B383, '💳 Debt Input'!$A$4:$G$9, 3, FALSE) / 12), 2))</f>
        <v>0</v>
      </c>
      <c r="E383" s="65" cm="1">
        <f t="array" aca="1" ref="E383" ca="1">IF(B383="","", ROUND(MIN(C383+D383, MAX(VLOOKUP(B383,'💳 Debt Input'!$A$4:$G$9,4,FALSE), $F$3 - IFERROR(SUM(OFFSET(E383, -MOD(ROW()-6, 6), 0, MOD(ROW()-6, 6))), 0) - IFERROR(SUM(SUMIF('💳 Debt Input'!$A$4:$A$9, OFFSET(B383, 1, 0, 5-MOD(ROW()-6, 6)), '💳 Debt Input'!$D$4:$D$9)), 0))), 2))</f>
        <v>0</v>
      </c>
      <c r="F383" s="65">
        <f t="shared" ca="1" si="12"/>
        <v>0</v>
      </c>
      <c r="G383" s="25" t="str">
        <f t="shared" ca="1" si="13"/>
        <v>Paid off</v>
      </c>
      <c r="H383" s="25"/>
    </row>
    <row r="384" spans="1:8" ht="18" customHeight="1" x14ac:dyDescent="0.35">
      <c r="A384" s="52"/>
      <c r="B384" s="26" t="str">
        <v>Medical Bill</v>
      </c>
      <c r="C384" s="66">
        <f ca="1"/>
        <v>0</v>
      </c>
      <c r="D384" s="66">
        <f ca="1">IF(B384="","", ROUND(C384 * (VLOOKUP(B384, '💳 Debt Input'!$A$4:$G$9, 3, FALSE) / 12), 2))</f>
        <v>0</v>
      </c>
      <c r="E384" s="66" cm="1">
        <f t="array" aca="1" ref="E384" ca="1">IF(B384="","", ROUND(MIN(C384+D384, MAX(VLOOKUP(B384,'💳 Debt Input'!$A$4:$G$9,4,FALSE), $F$3 - IFERROR(SUM(OFFSET(E384, -MOD(ROW()-6, 6), 0, MOD(ROW()-6, 6))), 0) - IFERROR(SUM(SUMIF('💳 Debt Input'!$A$4:$A$9, OFFSET(B384, 1, 0, 5-MOD(ROW()-6, 6)), '💳 Debt Input'!$D$4:$D$9)), 0))), 2))</f>
        <v>0</v>
      </c>
      <c r="F384" s="66">
        <f t="shared" ca="1" si="12"/>
        <v>0</v>
      </c>
      <c r="G384" s="28" t="str">
        <f t="shared" ca="1" si="13"/>
        <v>Paid off</v>
      </c>
      <c r="H384" s="28"/>
    </row>
    <row r="385" spans="1:8" ht="18" customHeight="1" x14ac:dyDescent="0.35">
      <c r="A385" s="52"/>
      <c r="B385" s="26" t="str">
        <v>Personal Loan</v>
      </c>
      <c r="C385" s="66">
        <f ca="1"/>
        <v>0</v>
      </c>
      <c r="D385" s="66">
        <f ca="1">IF(B385="","", ROUND(C385 * (VLOOKUP(B385, '💳 Debt Input'!$A$4:$G$9, 3, FALSE) / 12), 2))</f>
        <v>0</v>
      </c>
      <c r="E385" s="66" cm="1">
        <f t="array" aca="1" ref="E385" ca="1">IF(B385="","", ROUND(MIN(C385+D385, MAX(VLOOKUP(B385,'💳 Debt Input'!$A$4:$G$9,4,FALSE), $F$3 - IFERROR(SUM(OFFSET(E385, -MOD(ROW()-6, 6), 0, MOD(ROW()-6, 6))), 0) - IFERROR(SUM(SUMIF('💳 Debt Input'!$A$4:$A$9, OFFSET(B385, 1, 0, 5-MOD(ROW()-6, 6)), '💳 Debt Input'!$D$4:$D$9)), 0))), 2))</f>
        <v>0</v>
      </c>
      <c r="F385" s="66">
        <f t="shared" ca="1" si="12"/>
        <v>0</v>
      </c>
      <c r="G385" s="28" t="str">
        <f t="shared" ca="1" si="13"/>
        <v>Paid off</v>
      </c>
      <c r="H385" s="28"/>
    </row>
    <row r="386" spans="1:8" ht="18" customHeight="1" x14ac:dyDescent="0.35">
      <c r="A386" s="52"/>
      <c r="B386" s="26" t="str">
        <v>Auto Loan</v>
      </c>
      <c r="C386" s="66">
        <f ca="1"/>
        <v>0</v>
      </c>
      <c r="D386" s="66">
        <f ca="1">IF(B386="","", ROUND(C386 * (VLOOKUP(B386, '💳 Debt Input'!$A$4:$G$9, 3, FALSE) / 12), 2))</f>
        <v>0</v>
      </c>
      <c r="E386" s="66" cm="1">
        <f t="array" aca="1" ref="E386" ca="1">IF(B386="","", ROUND(MIN(C386+D386, MAX(VLOOKUP(B386,'💳 Debt Input'!$A$4:$G$9,4,FALSE), $F$3 - IFERROR(SUM(OFFSET(E386, -MOD(ROW()-6, 6), 0, MOD(ROW()-6, 6))), 0) - IFERROR(SUM(SUMIF('💳 Debt Input'!$A$4:$A$9, OFFSET(B386, 1, 0, 5-MOD(ROW()-6, 6)), '💳 Debt Input'!$D$4:$D$9)), 0))), 2))</f>
        <v>0</v>
      </c>
      <c r="F386" s="66">
        <f t="shared" ca="1" si="12"/>
        <v>0</v>
      </c>
      <c r="G386" s="28" t="str">
        <f t="shared" ca="1" si="13"/>
        <v>Paid off</v>
      </c>
      <c r="H386" s="28"/>
    </row>
    <row r="387" spans="1:8" ht="18" customHeight="1" x14ac:dyDescent="0.35">
      <c r="A387" s="52"/>
      <c r="B387" s="26" t="str">
        <v>Travel Card</v>
      </c>
      <c r="C387" s="66">
        <f ca="1"/>
        <v>0</v>
      </c>
      <c r="D387" s="66">
        <f ca="1">IF(B387="","", ROUND(C387 * (VLOOKUP(B387, '💳 Debt Input'!$A$4:$G$9, 3, FALSE) / 12), 2))</f>
        <v>0</v>
      </c>
      <c r="E387" s="66" cm="1">
        <f t="array" aca="1" ref="E387" ca="1">IF(B387="","", ROUND(MIN(C387+D387, MAX(VLOOKUP(B387,'💳 Debt Input'!$A$4:$G$9,4,FALSE), $F$3 - IFERROR(SUM(OFFSET(E387, -MOD(ROW()-6, 6), 0, MOD(ROW()-6, 6))), 0) - IFERROR(SUM(SUMIF('💳 Debt Input'!$A$4:$A$9, OFFSET(B387, 1, 0, 5-MOD(ROW()-6, 6)), '💳 Debt Input'!$D$4:$D$9)), 0))), 2))</f>
        <v>0</v>
      </c>
      <c r="F387" s="66">
        <f t="shared" ca="1" si="12"/>
        <v>0</v>
      </c>
      <c r="G387" s="28" t="str">
        <f t="shared" ca="1" si="13"/>
        <v>Paid off</v>
      </c>
      <c r="H387" s="28"/>
    </row>
    <row r="388" spans="1:8" ht="18" customHeight="1" x14ac:dyDescent="0.35">
      <c r="A388" s="47"/>
      <c r="B388" s="8" t="str">
        <v>Rewards Visa</v>
      </c>
      <c r="C388" s="61">
        <f ca="1"/>
        <v>4218.6499999999996</v>
      </c>
      <c r="D388" s="61">
        <f ca="1">IF(B388="","", ROUND(C388 * (VLOOKUP(B388, '💳 Debt Input'!$A$4:$G$9, 3, FALSE) / 12), 2))</f>
        <v>126.56</v>
      </c>
      <c r="E388" s="61" cm="1">
        <f t="array" aca="1" ref="E388" ca="1">IF(B388="","", ROUND(MIN(C388+D388, MAX(VLOOKUP(B388,'💳 Debt Input'!$A$4:$G$9,4,FALSE), $F$3 - IFERROR(SUM(OFFSET(E388, -MOD(ROW()-6, 6), 0, MOD(ROW()-6, 6))), 0) - IFERROR(SUM(SUMIF('💳 Debt Input'!$A$4:$A$9, OFFSET(B388, 1, 0, 5-MOD(ROW()-6, 6)), '💳 Debt Input'!$D$4:$D$9)), 0))), 2))</f>
        <v>935</v>
      </c>
      <c r="F388" s="61">
        <f t="shared" ca="1" si="12"/>
        <v>3410.21</v>
      </c>
      <c r="G388" s="19" t="str">
        <f t="shared" ca="1" si="13"/>
        <v>Active</v>
      </c>
      <c r="H388" s="19"/>
    </row>
    <row r="389" spans="1:8" ht="18" customHeight="1" x14ac:dyDescent="0.35">
      <c r="A389" s="51">
        <v>64</v>
      </c>
      <c r="B389" s="56" t="str" cm="1">
        <f t="array" ref="B389:B394">B383:B388</f>
        <v>Store Card</v>
      </c>
      <c r="C389" s="65" cm="1">
        <f t="array" aca="1" ref="C389:C394" ca="1">F383:F388</f>
        <v>0</v>
      </c>
      <c r="D389" s="65">
        <f ca="1">IF(B389="","", ROUND(C389 * (VLOOKUP(B389, '💳 Debt Input'!$A$4:$G$9, 3, FALSE) / 12), 2))</f>
        <v>0</v>
      </c>
      <c r="E389" s="65" cm="1">
        <f t="array" aca="1" ref="E389" ca="1">IF(B389="","", ROUND(MIN(C389+D389, MAX(VLOOKUP(B389,'💳 Debt Input'!$A$4:$G$9,4,FALSE), $F$3 - IFERROR(SUM(OFFSET(E389, -MOD(ROW()-6, 6), 0, MOD(ROW()-6, 6))), 0) - IFERROR(SUM(SUMIF('💳 Debt Input'!$A$4:$A$9, OFFSET(B389, 1, 0, 5-MOD(ROW()-6, 6)), '💳 Debt Input'!$D$4:$D$9)), 0))), 2))</f>
        <v>0</v>
      </c>
      <c r="F389" s="65">
        <f t="shared" ca="1" si="12"/>
        <v>0</v>
      </c>
      <c r="G389" s="25" t="str">
        <f t="shared" ca="1" si="13"/>
        <v>Paid off</v>
      </c>
      <c r="H389" s="25"/>
    </row>
    <row r="390" spans="1:8" ht="18" customHeight="1" x14ac:dyDescent="0.35">
      <c r="A390" s="52"/>
      <c r="B390" s="26" t="str">
        <v>Medical Bill</v>
      </c>
      <c r="C390" s="66">
        <f ca="1"/>
        <v>0</v>
      </c>
      <c r="D390" s="66">
        <f ca="1">IF(B390="","", ROUND(C390 * (VLOOKUP(B390, '💳 Debt Input'!$A$4:$G$9, 3, FALSE) / 12), 2))</f>
        <v>0</v>
      </c>
      <c r="E390" s="66" cm="1">
        <f t="array" aca="1" ref="E390" ca="1">IF(B390="","", ROUND(MIN(C390+D390, MAX(VLOOKUP(B390,'💳 Debt Input'!$A$4:$G$9,4,FALSE), $F$3 - IFERROR(SUM(OFFSET(E390, -MOD(ROW()-6, 6), 0, MOD(ROW()-6, 6))), 0) - IFERROR(SUM(SUMIF('💳 Debt Input'!$A$4:$A$9, OFFSET(B390, 1, 0, 5-MOD(ROW()-6, 6)), '💳 Debt Input'!$D$4:$D$9)), 0))), 2))</f>
        <v>0</v>
      </c>
      <c r="F390" s="66">
        <f t="shared" ca="1" si="12"/>
        <v>0</v>
      </c>
      <c r="G390" s="28" t="str">
        <f t="shared" ca="1" si="13"/>
        <v>Paid off</v>
      </c>
      <c r="H390" s="28"/>
    </row>
    <row r="391" spans="1:8" ht="18" customHeight="1" x14ac:dyDescent="0.35">
      <c r="A391" s="52"/>
      <c r="B391" s="26" t="str">
        <v>Personal Loan</v>
      </c>
      <c r="C391" s="66">
        <f ca="1"/>
        <v>0</v>
      </c>
      <c r="D391" s="66">
        <f ca="1">IF(B391="","", ROUND(C391 * (VLOOKUP(B391, '💳 Debt Input'!$A$4:$G$9, 3, FALSE) / 12), 2))</f>
        <v>0</v>
      </c>
      <c r="E391" s="66" cm="1">
        <f t="array" aca="1" ref="E391" ca="1">IF(B391="","", ROUND(MIN(C391+D391, MAX(VLOOKUP(B391,'💳 Debt Input'!$A$4:$G$9,4,FALSE), $F$3 - IFERROR(SUM(OFFSET(E391, -MOD(ROW()-6, 6), 0, MOD(ROW()-6, 6))), 0) - IFERROR(SUM(SUMIF('💳 Debt Input'!$A$4:$A$9, OFFSET(B391, 1, 0, 5-MOD(ROW()-6, 6)), '💳 Debt Input'!$D$4:$D$9)), 0))), 2))</f>
        <v>0</v>
      </c>
      <c r="F391" s="66">
        <f t="shared" ca="1" si="12"/>
        <v>0</v>
      </c>
      <c r="G391" s="28" t="str">
        <f t="shared" ca="1" si="13"/>
        <v>Paid off</v>
      </c>
      <c r="H391" s="28"/>
    </row>
    <row r="392" spans="1:8" ht="18" customHeight="1" x14ac:dyDescent="0.35">
      <c r="A392" s="52"/>
      <c r="B392" s="26" t="str">
        <v>Auto Loan</v>
      </c>
      <c r="C392" s="66">
        <f ca="1"/>
        <v>0</v>
      </c>
      <c r="D392" s="66">
        <f ca="1">IF(B392="","", ROUND(C392 * (VLOOKUP(B392, '💳 Debt Input'!$A$4:$G$9, 3, FALSE) / 12), 2))</f>
        <v>0</v>
      </c>
      <c r="E392" s="66" cm="1">
        <f t="array" aca="1" ref="E392" ca="1">IF(B392="","", ROUND(MIN(C392+D392, MAX(VLOOKUP(B392,'💳 Debt Input'!$A$4:$G$9,4,FALSE), $F$3 - IFERROR(SUM(OFFSET(E392, -MOD(ROW()-6, 6), 0, MOD(ROW()-6, 6))), 0) - IFERROR(SUM(SUMIF('💳 Debt Input'!$A$4:$A$9, OFFSET(B392, 1, 0, 5-MOD(ROW()-6, 6)), '💳 Debt Input'!$D$4:$D$9)), 0))), 2))</f>
        <v>0</v>
      </c>
      <c r="F392" s="66">
        <f t="shared" ca="1" si="12"/>
        <v>0</v>
      </c>
      <c r="G392" s="28" t="str">
        <f t="shared" ca="1" si="13"/>
        <v>Paid off</v>
      </c>
      <c r="H392" s="28"/>
    </row>
    <row r="393" spans="1:8" ht="18" customHeight="1" x14ac:dyDescent="0.35">
      <c r="A393" s="52"/>
      <c r="B393" s="26" t="str">
        <v>Travel Card</v>
      </c>
      <c r="C393" s="66">
        <f ca="1"/>
        <v>0</v>
      </c>
      <c r="D393" s="66">
        <f ca="1">IF(B393="","", ROUND(C393 * (VLOOKUP(B393, '💳 Debt Input'!$A$4:$G$9, 3, FALSE) / 12), 2))</f>
        <v>0</v>
      </c>
      <c r="E393" s="66" cm="1">
        <f t="array" aca="1" ref="E393" ca="1">IF(B393="","", ROUND(MIN(C393+D393, MAX(VLOOKUP(B393,'💳 Debt Input'!$A$4:$G$9,4,FALSE), $F$3 - IFERROR(SUM(OFFSET(E393, -MOD(ROW()-6, 6), 0, MOD(ROW()-6, 6))), 0) - IFERROR(SUM(SUMIF('💳 Debt Input'!$A$4:$A$9, OFFSET(B393, 1, 0, 5-MOD(ROW()-6, 6)), '💳 Debt Input'!$D$4:$D$9)), 0))), 2))</f>
        <v>0</v>
      </c>
      <c r="F393" s="66">
        <f t="shared" ca="1" si="12"/>
        <v>0</v>
      </c>
      <c r="G393" s="28" t="str">
        <f t="shared" ca="1" si="13"/>
        <v>Paid off</v>
      </c>
      <c r="H393" s="28"/>
    </row>
    <row r="394" spans="1:8" ht="18" customHeight="1" x14ac:dyDescent="0.35">
      <c r="A394" s="52"/>
      <c r="B394" s="26" t="str">
        <v>Rewards Visa</v>
      </c>
      <c r="C394" s="66">
        <f ca="1"/>
        <v>3410.21</v>
      </c>
      <c r="D394" s="66">
        <f ca="1">IF(B394="","", ROUND(C394 * (VLOOKUP(B394, '💳 Debt Input'!$A$4:$G$9, 3, FALSE) / 12), 2))</f>
        <v>102.31</v>
      </c>
      <c r="E394" s="66" cm="1">
        <f t="array" aca="1" ref="E394" ca="1">IF(B394="","", ROUND(MIN(C394+D394, MAX(VLOOKUP(B394,'💳 Debt Input'!$A$4:$G$9,4,FALSE), $F$3 - IFERROR(SUM(OFFSET(E394, -MOD(ROW()-6, 6), 0, MOD(ROW()-6, 6))), 0) - IFERROR(SUM(SUMIF('💳 Debt Input'!$A$4:$A$9, OFFSET(B394, 1, 0, 5-MOD(ROW()-6, 6)), '💳 Debt Input'!$D$4:$D$9)), 0))), 2))</f>
        <v>960</v>
      </c>
      <c r="F394" s="66">
        <f t="shared" ca="1" si="12"/>
        <v>2552.52</v>
      </c>
      <c r="G394" s="28" t="str">
        <f t="shared" ca="1" si="13"/>
        <v>Active</v>
      </c>
      <c r="H394" s="28"/>
    </row>
    <row r="395" spans="1:8" ht="10" customHeight="1" x14ac:dyDescent="0.35"/>
  </sheetData>
  <mergeCells count="5">
    <mergeCell ref="A9:H9"/>
    <mergeCell ref="A2:H2"/>
    <mergeCell ref="A1:H1"/>
    <mergeCell ref="A4:B4"/>
    <mergeCell ref="C4:E4"/>
  </mergeCells>
  <conditionalFormatting sqref="A11:H394">
    <cfRule type="expression" dxfId="9" priority="1">
      <formula>$G11="Paid off"</formula>
    </cfRule>
    <cfRule type="expression" dxfId="8" priority="2">
      <formula>$G11="Paid off"</formula>
    </cfRule>
  </conditionalFormatting>
  <pageMargins left="0.75" right="0.75" top="1" bottom="1" header="0.5" footer="0.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63946"/>
    <pageSetUpPr fitToPage="1"/>
  </sheetPr>
  <dimension ref="A1:R403"/>
  <sheetViews>
    <sheetView workbookViewId="0">
      <pane ySplit="10" topLeftCell="A11" activePane="bottomLeft" state="frozen"/>
      <selection sqref="A1:L1"/>
      <selection pane="bottomLeft" activeCell="B3" sqref="B3"/>
    </sheetView>
  </sheetViews>
  <sheetFormatPr defaultRowHeight="14.5" x14ac:dyDescent="0.35"/>
  <cols>
    <col min="1" max="1" width="24" bestFit="1" customWidth="1"/>
    <col min="2" max="2" width="22" customWidth="1"/>
    <col min="3" max="3" width="24" bestFit="1" customWidth="1"/>
    <col min="4" max="4" width="20" customWidth="1"/>
    <col min="5" max="7" width="18" customWidth="1"/>
    <col min="8" max="8" width="26" customWidth="1"/>
    <col min="9" max="9" width="8.7265625" style="68" hidden="1" customWidth="1"/>
    <col min="10" max="10" width="8.26953125" style="68" hidden="1" customWidth="1"/>
    <col min="11" max="11" width="6.26953125" style="68" hidden="1" customWidth="1"/>
    <col min="12" max="12" width="9.54296875" style="68" hidden="1" customWidth="1"/>
    <col min="13" max="13" width="11" style="68" hidden="1" customWidth="1"/>
    <col min="14" max="14" width="6.1796875" style="68" hidden="1" customWidth="1"/>
    <col min="15" max="15" width="5.453125" style="68" hidden="1" customWidth="1"/>
    <col min="16" max="16" width="3.54296875" style="68" hidden="1" customWidth="1"/>
    <col min="17" max="17" width="3.54296875" style="68" customWidth="1"/>
    <col min="18" max="18" width="8.7265625" style="68"/>
  </cols>
  <sheetData>
    <row r="1" spans="1:16" ht="30" customHeight="1" x14ac:dyDescent="0.35">
      <c r="A1" s="92" t="s">
        <v>67</v>
      </c>
      <c r="B1" s="90"/>
      <c r="C1" s="90"/>
      <c r="D1" s="90"/>
      <c r="E1" s="90"/>
      <c r="F1" s="90"/>
      <c r="G1" s="90"/>
      <c r="H1" s="90"/>
    </row>
    <row r="2" spans="1:16" ht="18" customHeight="1" x14ac:dyDescent="0.35">
      <c r="A2" s="91" t="s">
        <v>68</v>
      </c>
      <c r="B2" s="90"/>
      <c r="C2" s="90"/>
      <c r="D2" s="90"/>
      <c r="E2" s="90"/>
      <c r="F2" s="90"/>
      <c r="G2" s="90"/>
      <c r="H2" s="90"/>
      <c r="J2" s="68" t="s">
        <v>47</v>
      </c>
    </row>
    <row r="3" spans="1:16" ht="22" customHeight="1" x14ac:dyDescent="0.35">
      <c r="A3" s="17" t="s">
        <v>48</v>
      </c>
      <c r="B3" s="18">
        <f>'💳 Debt Input'!$E$10</f>
        <v>960</v>
      </c>
      <c r="C3" s="99"/>
      <c r="D3" s="99"/>
      <c r="E3" s="99"/>
      <c r="F3" s="82">
        <f>B3+D3</f>
        <v>960</v>
      </c>
      <c r="J3" s="68" t="s">
        <v>49</v>
      </c>
      <c r="K3" s="68" t="s">
        <v>50</v>
      </c>
      <c r="L3" s="68" t="s">
        <v>51</v>
      </c>
      <c r="M3" s="68" t="s">
        <v>52</v>
      </c>
    </row>
    <row r="4" spans="1:16" ht="24" customHeight="1" x14ac:dyDescent="0.35">
      <c r="A4" s="93" t="s">
        <v>69</v>
      </c>
      <c r="B4" s="93"/>
      <c r="C4" s="94" t="str">
        <f>"💡 WHAT IF YOU PAID $"&amp;TEXT('💳 Debt Input'!B11,"#,##0")&amp;" MORE PER MONTH?"</f>
        <v>💡 WHAT IF YOU PAID $50 MORE PER MONTH?</v>
      </c>
      <c r="D4" s="94"/>
      <c r="E4" s="94"/>
      <c r="O4" s="68" t="str">
        <f>IF(A4&lt;&gt;"", A4, O394)</f>
        <v>🌊 AVALANCHE SUMMARY</v>
      </c>
      <c r="P4" s="68">
        <f>IF(B4="", 0, IFERROR(MIN(#REF!+D4, VLOOKUP(B4, '💳 Debt Input'!$A:$G, 4, FALSE)), 0))</f>
        <v>0</v>
      </c>
    </row>
    <row r="5" spans="1:16" ht="22" customHeight="1" x14ac:dyDescent="0.35">
      <c r="A5" s="17" t="s">
        <v>54</v>
      </c>
      <c r="B5" s="30" cm="1">
        <f t="array" ref="B5">IFERROR(ROUNDUP((MAX(_xlfn._xlws.FILTER(ROW('🌊 Avalanche Payoff'!E11:E1200), '🌊 Avalanche Payoff'!E11:E1200&gt;0)) - 5) / 6, 0), 0)</f>
        <v>63</v>
      </c>
      <c r="C5" s="32" t="s">
        <v>55</v>
      </c>
      <c r="D5" s="33">
        <f>'💳 Debt Input'!B11</f>
        <v>50</v>
      </c>
      <c r="O5" s="68" t="str">
        <f>IF(A5&lt;&gt;"", A5, O4)</f>
        <v>Months to Debt-Free:</v>
      </c>
      <c r="P5" s="68">
        <f>IF(B5="", 0, IFERROR(MIN(#REF!+#REF!, VLOOKUP(B5, '💳 Debt Input'!$A:$G, 4, FALSE)), 0))</f>
        <v>0</v>
      </c>
    </row>
    <row r="6" spans="1:16" ht="22" customHeight="1" x14ac:dyDescent="0.35">
      <c r="A6" s="17" t="s">
        <v>56</v>
      </c>
      <c r="B6" s="31">
        <f>SUM(D11:D1200)</f>
        <v>28926.920000000002</v>
      </c>
      <c r="C6" s="32" t="s">
        <v>57</v>
      </c>
      <c r="D6" s="34">
        <f>'Avalanche WhatIf Calc'!B5</f>
        <v>55</v>
      </c>
      <c r="O6" s="68" t="str">
        <f>IF(A6&lt;&gt;"", A6, O5)</f>
        <v>Total Interest Paid:</v>
      </c>
      <c r="P6" s="68">
        <f>IF(B6="", 0, IFERROR(MIN(#REF!+#REF!, VLOOKUP(B6, '💳 Debt Input'!$A:$G, 4, FALSE)), 0))</f>
        <v>0</v>
      </c>
    </row>
    <row r="7" spans="1:16" ht="22" customHeight="1" x14ac:dyDescent="0.35">
      <c r="A7" s="17" t="s">
        <v>58</v>
      </c>
      <c r="B7" s="31">
        <f>SUM(E11:E1201)</f>
        <v>60126.92</v>
      </c>
      <c r="C7" s="32" t="s">
        <v>59</v>
      </c>
      <c r="D7" s="34">
        <f>B5-D6</f>
        <v>8</v>
      </c>
      <c r="O7" s="68" t="str">
        <f>IF(A7&lt;&gt;"", A7, O6)</f>
        <v>Total Amount Paid:</v>
      </c>
      <c r="P7" s="68">
        <f>IF(B7="", 0, IFERROR(MIN(#REF!+#REF!, VLOOKUP(B7, '💳 Debt Input'!$A:$G, 4, FALSE)), 0))</f>
        <v>0</v>
      </c>
    </row>
    <row r="8" spans="1:16" ht="21.65" customHeight="1" x14ac:dyDescent="0.35">
      <c r="A8" s="69"/>
      <c r="B8" s="70"/>
      <c r="C8" s="32" t="s">
        <v>60</v>
      </c>
      <c r="D8" s="35">
        <f>B6-'Avalanche WhatIf Calc'!B6</f>
        <v>4920.3699999999917</v>
      </c>
      <c r="O8" s="68" t="str">
        <f>IF(A8&lt;&gt;"", A8, O7)</f>
        <v>Total Amount Paid:</v>
      </c>
      <c r="P8" s="68">
        <f>IF(B8="", 0, IFERROR(MIN(#REF!+#REF!, VLOOKUP(B8, '💳 Debt Input'!$A:$G, 4, FALSE)), 0))</f>
        <v>0</v>
      </c>
    </row>
    <row r="9" spans="1:16" ht="20.149999999999999" customHeight="1" x14ac:dyDescent="0.35">
      <c r="A9" s="89" t="s">
        <v>61</v>
      </c>
      <c r="B9" s="90"/>
      <c r="C9" s="90"/>
      <c r="D9" s="90"/>
      <c r="E9" s="90"/>
      <c r="F9" s="90"/>
      <c r="G9" s="90"/>
      <c r="H9" s="90"/>
      <c r="J9" s="68">
        <v>1</v>
      </c>
      <c r="K9" s="68">
        <f>SUM(F11:F16)</f>
        <v>30898</v>
      </c>
      <c r="L9" s="68">
        <f>SUM(D11:D16)</f>
        <v>658</v>
      </c>
      <c r="M9" s="68">
        <f>F16</f>
        <v>175.5</v>
      </c>
    </row>
    <row r="10" spans="1:16" ht="20.149999999999999" customHeight="1" x14ac:dyDescent="0.35">
      <c r="A10" s="45" t="s">
        <v>49</v>
      </c>
      <c r="B10" s="4" t="s">
        <v>28</v>
      </c>
      <c r="C10" s="4" t="s">
        <v>62</v>
      </c>
      <c r="D10" s="4" t="s">
        <v>51</v>
      </c>
      <c r="E10" s="4" t="s">
        <v>63</v>
      </c>
      <c r="F10" s="4" t="s">
        <v>64</v>
      </c>
      <c r="G10" s="4" t="s">
        <v>65</v>
      </c>
      <c r="H10" s="4" t="s">
        <v>66</v>
      </c>
      <c r="J10" s="68">
        <v>2</v>
      </c>
      <c r="K10" s="68">
        <f>SUM(F17:F22)</f>
        <v>30592.959999999995</v>
      </c>
      <c r="L10" s="68">
        <f>SUM(D17:D22)</f>
        <v>654.96000000000015</v>
      </c>
      <c r="M10" s="68">
        <f>F22</f>
        <v>150.94</v>
      </c>
      <c r="O10" s="68" t="s">
        <v>49</v>
      </c>
    </row>
    <row r="11" spans="1:16" ht="18" customHeight="1" x14ac:dyDescent="0.35">
      <c r="A11" s="46">
        <v>1</v>
      </c>
      <c r="B11" s="8" t="str">
        <f>'💳 Debt Input'!$A$9</f>
        <v>Rewards Visa</v>
      </c>
      <c r="C11" s="10">
        <f>'💳 Debt Input'!$B$9</f>
        <v>16000</v>
      </c>
      <c r="D11" s="10">
        <f>ROUND(C11*'💳 Debt Input'!$C$9/12,2)</f>
        <v>480</v>
      </c>
      <c r="E11" s="10">
        <f>IF(B11="", "", MIN(C11+D11, MAX(P11, $F$3 - SUMIFS(E$10:E10, O$10:O10, O11) - SUMIFS(P12:P$1995, O12:O$1995, O11))))</f>
        <v>480</v>
      </c>
      <c r="F11" s="10">
        <f t="shared" ref="F11:F74" si="0">ROUND(MAX(0,C11+D11-E11),2)</f>
        <v>16000</v>
      </c>
      <c r="G11" s="19" t="str">
        <f t="shared" ref="G11:G74" si="1">IF(F11=0,"Paid off","Active")</f>
        <v>Active</v>
      </c>
      <c r="H11" s="20"/>
      <c r="J11" s="68">
        <v>3</v>
      </c>
      <c r="K11" s="68">
        <f>SUM(F23:F28)</f>
        <v>30284.82</v>
      </c>
      <c r="L11" s="68">
        <f>SUM(D23:D28)</f>
        <v>651.8599999999999</v>
      </c>
      <c r="M11" s="68">
        <f>F28</f>
        <v>126.32</v>
      </c>
      <c r="O11" s="68">
        <f t="shared" ref="O11:O74" si="2">IF(A11&lt;&gt;"", A11, O10)</f>
        <v>1</v>
      </c>
      <c r="P11" s="68">
        <f>IF(B11="", 0, IFERROR(MIN(C11+D11, VLOOKUP(B11, '💳 Debt Input'!$A:$G, 4, FALSE)), 0))</f>
        <v>480</v>
      </c>
    </row>
    <row r="12" spans="1:16" ht="18" customHeight="1" x14ac:dyDescent="0.35">
      <c r="A12" s="47"/>
      <c r="B12" s="8" t="str">
        <f>'💳 Debt Input'!$A$8</f>
        <v>Travel Card</v>
      </c>
      <c r="C12" s="10">
        <f>'💳 Debt Input'!$B$8</f>
        <v>9000</v>
      </c>
      <c r="D12" s="10">
        <f>ROUND(C12*'💳 Debt Input'!$C$8/12,2)</f>
        <v>135</v>
      </c>
      <c r="E12" s="10">
        <f>IF(B12="", "", MIN(C12+D12, MAX(P12, $F$3 - SUMIFS(E$10:E11, O$10:O11, O12) - SUMIFS(P13:P$1995, O13:O$1995, O12))))</f>
        <v>270</v>
      </c>
      <c r="F12" s="10">
        <f t="shared" si="0"/>
        <v>8865</v>
      </c>
      <c r="G12" s="19" t="str">
        <f t="shared" si="1"/>
        <v>Active</v>
      </c>
      <c r="H12" s="20"/>
      <c r="J12" s="68">
        <v>4</v>
      </c>
      <c r="K12" s="68">
        <f>SUM(F29:F34)</f>
        <v>29973.56</v>
      </c>
      <c r="L12" s="68">
        <f>SUM(D29:D34)</f>
        <v>648.74</v>
      </c>
      <c r="M12" s="68">
        <f>F34</f>
        <v>101.64</v>
      </c>
      <c r="O12" s="68">
        <f t="shared" si="2"/>
        <v>1</v>
      </c>
      <c r="P12" s="68">
        <f>IF(B12="", 0, IFERROR(MIN(C12+D12, VLOOKUP(B12, '💳 Debt Input'!$A:$G, 4, FALSE)), 0))</f>
        <v>270</v>
      </c>
    </row>
    <row r="13" spans="1:16" ht="18" customHeight="1" x14ac:dyDescent="0.35">
      <c r="A13" s="47"/>
      <c r="B13" s="8" t="str">
        <f>'💳 Debt Input'!$A$7</f>
        <v>Auto Loan</v>
      </c>
      <c r="C13" s="10">
        <f>'💳 Debt Input'!$B$7</f>
        <v>4000</v>
      </c>
      <c r="D13" s="10">
        <f>ROUND(C13*'💳 Debt Input'!$C$7/12,2)</f>
        <v>33.33</v>
      </c>
      <c r="E13" s="10">
        <f>IF(B13="", "", MIN(C13+D13, MAX(P13, $F$3 - SUMIFS(E$10:E12, O$10:O12, O13) - SUMIFS(P14:P$1995, O14:O$1995, O13))))</f>
        <v>120</v>
      </c>
      <c r="F13" s="10">
        <f t="shared" si="0"/>
        <v>3913.33</v>
      </c>
      <c r="G13" s="19" t="str">
        <f t="shared" si="1"/>
        <v>Active</v>
      </c>
      <c r="H13" s="20"/>
      <c r="J13" s="68">
        <v>5</v>
      </c>
      <c r="K13" s="68">
        <f>SUM(F35:F40)</f>
        <v>29659.14</v>
      </c>
      <c r="L13" s="68">
        <f>SUM(D35:D40)</f>
        <v>645.58000000000004</v>
      </c>
      <c r="M13" s="68">
        <f>F40</f>
        <v>76.89</v>
      </c>
      <c r="O13" s="68">
        <f t="shared" si="2"/>
        <v>1</v>
      </c>
      <c r="P13" s="68">
        <f>IF(B13="", 0, IFERROR(MIN(C13+D13, VLOOKUP(B13, '💳 Debt Input'!$A:$G, 4, FALSE)), 0))</f>
        <v>120</v>
      </c>
    </row>
    <row r="14" spans="1:16" ht="18" customHeight="1" x14ac:dyDescent="0.35">
      <c r="A14" s="47"/>
      <c r="B14" s="8" t="str">
        <f>'💳 Debt Input'!$A$6</f>
        <v>Personal Loan</v>
      </c>
      <c r="C14" s="10">
        <f>'💳 Debt Input'!$B$6</f>
        <v>1500</v>
      </c>
      <c r="D14" s="10">
        <f>ROUND(C14*'💳 Debt Input'!$C$6/12,2)</f>
        <v>7.5</v>
      </c>
      <c r="E14" s="10">
        <f>IF(B14="", "", MIN(C14+D14, MAX(P14, $F$3 - SUMIFS(E$10:E13, O$10:O13, O14) - SUMIFS(P15:P$1995, O15:O$1995, O14))))</f>
        <v>40</v>
      </c>
      <c r="F14" s="10">
        <f t="shared" si="0"/>
        <v>1467.5</v>
      </c>
      <c r="G14" s="19" t="str">
        <f t="shared" si="1"/>
        <v>Active</v>
      </c>
      <c r="H14" s="20"/>
      <c r="J14" s="68">
        <v>6</v>
      </c>
      <c r="K14" s="68">
        <f>SUM(F41:F46)</f>
        <v>29341.520000000004</v>
      </c>
      <c r="L14" s="68">
        <f>SUM(D41:D46)</f>
        <v>642.37999999999988</v>
      </c>
      <c r="M14" s="68">
        <f>F46</f>
        <v>52.08</v>
      </c>
      <c r="O14" s="68">
        <f t="shared" si="2"/>
        <v>1</v>
      </c>
      <c r="P14" s="68">
        <f>IF(B14="", 0, IFERROR(MIN(C14+D14, VLOOKUP(B14, '💳 Debt Input'!$A:$G, 4, FALSE)), 0))</f>
        <v>40</v>
      </c>
    </row>
    <row r="15" spans="1:16" ht="18" customHeight="1" x14ac:dyDescent="0.35">
      <c r="A15" s="47"/>
      <c r="B15" s="8" t="str">
        <f>'💳 Debt Input'!$A$5</f>
        <v>Medical Bill</v>
      </c>
      <c r="C15" s="10">
        <f>'💳 Debt Input'!$B$5</f>
        <v>500</v>
      </c>
      <c r="D15" s="10">
        <f>ROUND(C15*'💳 Debt Input'!$C$5/12,2)</f>
        <v>1.67</v>
      </c>
      <c r="E15" s="10">
        <f>IF(B15="", "", MIN(C15+D15, MAX(P15, $F$3 - SUMIFS(E$10:E14, O$10:O14, O15) - SUMIFS(P16:P$1995, O16:O$1995, O15))))</f>
        <v>25</v>
      </c>
      <c r="F15" s="10">
        <f t="shared" si="0"/>
        <v>476.67</v>
      </c>
      <c r="G15" s="19" t="str">
        <f t="shared" si="1"/>
        <v>Active</v>
      </c>
      <c r="H15" s="20"/>
      <c r="J15" s="68">
        <v>7</v>
      </c>
      <c r="K15" s="68">
        <f>SUM(F47:F52)</f>
        <v>29020.66</v>
      </c>
      <c r="L15" s="68">
        <f>SUM(D47:D52)</f>
        <v>639.14</v>
      </c>
      <c r="M15" s="68">
        <f>F52</f>
        <v>27.21</v>
      </c>
      <c r="O15" s="68">
        <f t="shared" si="2"/>
        <v>1</v>
      </c>
      <c r="P15" s="68">
        <f>IF(B15="", 0, IFERROR(MIN(C15+D15, VLOOKUP(B15, '💳 Debt Input'!$A:$G, 4, FALSE)), 0))</f>
        <v>25</v>
      </c>
    </row>
    <row r="16" spans="1:16" ht="18" customHeight="1" x14ac:dyDescent="0.35">
      <c r="A16" s="47"/>
      <c r="B16" s="8" t="str">
        <f>'💳 Debt Input'!$A$4</f>
        <v>Store Card</v>
      </c>
      <c r="C16" s="10">
        <f>'💳 Debt Input'!$B$4</f>
        <v>200</v>
      </c>
      <c r="D16" s="10">
        <f>ROUND(C16*'💳 Debt Input'!$C$4/12,2)</f>
        <v>0.5</v>
      </c>
      <c r="E16" s="10">
        <f>IF(B16="", "", MIN(C16+D16, MAX(P16, $F$3 - SUMIFS(E$10:E15, O$10:O15, O16) - SUMIFS(P17:P$1995, O17:O$1995, O16))))</f>
        <v>25</v>
      </c>
      <c r="F16" s="10">
        <f t="shared" si="0"/>
        <v>175.5</v>
      </c>
      <c r="G16" s="19" t="str">
        <f t="shared" si="1"/>
        <v>Active</v>
      </c>
      <c r="H16" s="20"/>
      <c r="J16" s="68">
        <v>8</v>
      </c>
      <c r="K16" s="68">
        <f>SUM(F53:F58)</f>
        <v>28696.52</v>
      </c>
      <c r="L16" s="68">
        <f>SUM(D53:D58)</f>
        <v>635.86</v>
      </c>
      <c r="M16" s="68">
        <f>F58</f>
        <v>2.2799999999999998</v>
      </c>
      <c r="O16" s="68">
        <f t="shared" si="2"/>
        <v>1</v>
      </c>
      <c r="P16" s="68">
        <f>IF(B16="", 0, IFERROR(MIN(C16+D16, VLOOKUP(B16, '💳 Debt Input'!$A:$G, 4, FALSE)), 0))</f>
        <v>25</v>
      </c>
    </row>
    <row r="17" spans="1:16" ht="18" customHeight="1" x14ac:dyDescent="0.35">
      <c r="A17" s="48">
        <v>2</v>
      </c>
      <c r="B17" s="6" t="str">
        <f>'💳 Debt Input'!$A$9</f>
        <v>Rewards Visa</v>
      </c>
      <c r="C17" s="12">
        <f t="shared" ref="C17:C80" si="3">F11</f>
        <v>16000</v>
      </c>
      <c r="D17" s="12">
        <f>ROUND(C17*'💳 Debt Input'!$C$9/12,2)</f>
        <v>480</v>
      </c>
      <c r="E17" s="12">
        <f>IF(B17="", "", MIN(C17+D17, MAX(P17, $F$3 - SUMIFS(E$10:E16, O$10:O16, O17) - SUMIFS(P18:P$1995, O18:O$1995, O17))))</f>
        <v>480</v>
      </c>
      <c r="F17" s="12">
        <f t="shared" si="0"/>
        <v>16000</v>
      </c>
      <c r="G17" s="22" t="str">
        <f t="shared" si="1"/>
        <v>Active</v>
      </c>
      <c r="H17" s="23"/>
      <c r="J17" s="68">
        <v>9</v>
      </c>
      <c r="K17" s="68">
        <f>SUM(F59:F64)</f>
        <v>28369.05</v>
      </c>
      <c r="L17" s="68">
        <f>SUM(D59:D64)</f>
        <v>632.52999999999986</v>
      </c>
      <c r="M17" s="68">
        <f>F64</f>
        <v>0</v>
      </c>
      <c r="O17" s="68">
        <f t="shared" si="2"/>
        <v>2</v>
      </c>
      <c r="P17" s="68">
        <f>IF(B17="", 0, IFERROR(MIN(C17+D17, VLOOKUP(B17, '💳 Debt Input'!$A:$G, 4, FALSE)), 0))</f>
        <v>480</v>
      </c>
    </row>
    <row r="18" spans="1:16" ht="18" customHeight="1" x14ac:dyDescent="0.35">
      <c r="A18" s="49"/>
      <c r="B18" s="6" t="str">
        <f>'💳 Debt Input'!$A$8</f>
        <v>Travel Card</v>
      </c>
      <c r="C18" s="12">
        <f t="shared" si="3"/>
        <v>8865</v>
      </c>
      <c r="D18" s="12">
        <f>ROUND(C18*'💳 Debt Input'!$C$8/12,2)</f>
        <v>132.97999999999999</v>
      </c>
      <c r="E18" s="12">
        <f>IF(B18="", "", MIN(C18+D18, MAX(P18, $F$3 - SUMIFS(E$10:E17, O$10:O17, O18) - SUMIFS(P19:P$1995, O19:O$1995, O18))))</f>
        <v>270</v>
      </c>
      <c r="F18" s="12">
        <f t="shared" si="0"/>
        <v>8727.98</v>
      </c>
      <c r="G18" s="22" t="str">
        <f t="shared" si="1"/>
        <v>Active</v>
      </c>
      <c r="H18" s="23"/>
      <c r="J18" s="68">
        <v>10</v>
      </c>
      <c r="K18" s="68">
        <f>SUM(F65:F70)</f>
        <v>28037.59</v>
      </c>
      <c r="L18" s="68">
        <f>SUM(D65:D70)</f>
        <v>628.54000000000008</v>
      </c>
      <c r="M18" s="68">
        <f>F70</f>
        <v>0</v>
      </c>
      <c r="O18" s="68">
        <f t="shared" si="2"/>
        <v>2</v>
      </c>
      <c r="P18" s="68">
        <f>IF(B18="", 0, IFERROR(MIN(C18+D18, VLOOKUP(B18, '💳 Debt Input'!$A:$G, 4, FALSE)), 0))</f>
        <v>270</v>
      </c>
    </row>
    <row r="19" spans="1:16" ht="18" customHeight="1" x14ac:dyDescent="0.35">
      <c r="A19" s="49"/>
      <c r="B19" s="6" t="str">
        <f>'💳 Debt Input'!$A$7</f>
        <v>Auto Loan</v>
      </c>
      <c r="C19" s="12">
        <f t="shared" si="3"/>
        <v>3913.33</v>
      </c>
      <c r="D19" s="12">
        <f>ROUND(C19*'💳 Debt Input'!$C$7/12,2)</f>
        <v>32.61</v>
      </c>
      <c r="E19" s="12">
        <f>IF(B19="", "", MIN(C19+D19, MAX(P19, $F$3 - SUMIFS(E$10:E18, O$10:O18, O19) - SUMIFS(P20:P$1995, O20:O$1995, O19))))</f>
        <v>120</v>
      </c>
      <c r="F19" s="12">
        <f t="shared" si="0"/>
        <v>3825.94</v>
      </c>
      <c r="G19" s="22" t="str">
        <f t="shared" si="1"/>
        <v>Active</v>
      </c>
      <c r="H19" s="23"/>
      <c r="J19" s="68">
        <v>11</v>
      </c>
      <c r="K19" s="68">
        <f>SUM(F71:F76)</f>
        <v>27702.02</v>
      </c>
      <c r="L19" s="68">
        <f>SUM(D71:D76)</f>
        <v>624.43000000000006</v>
      </c>
      <c r="M19" s="68">
        <f>F76</f>
        <v>0</v>
      </c>
      <c r="O19" s="68">
        <f t="shared" si="2"/>
        <v>2</v>
      </c>
      <c r="P19" s="68">
        <f>IF(B19="", 0, IFERROR(MIN(C19+D19, VLOOKUP(B19, '💳 Debt Input'!$A:$G, 4, FALSE)), 0))</f>
        <v>120</v>
      </c>
    </row>
    <row r="20" spans="1:16" ht="18" customHeight="1" x14ac:dyDescent="0.35">
      <c r="A20" s="49"/>
      <c r="B20" s="6" t="str">
        <f>'💳 Debt Input'!$A$6</f>
        <v>Personal Loan</v>
      </c>
      <c r="C20" s="12">
        <f t="shared" si="3"/>
        <v>1467.5</v>
      </c>
      <c r="D20" s="12">
        <f>ROUND(C20*'💳 Debt Input'!$C$6/12,2)</f>
        <v>7.34</v>
      </c>
      <c r="E20" s="12">
        <f>IF(B20="", "", MIN(C20+D20, MAX(P20, $F$3 - SUMIFS(E$10:E19, O$10:O19, O20) - SUMIFS(P21:P$1995, O21:O$1995, O20))))</f>
        <v>40</v>
      </c>
      <c r="F20" s="12">
        <f t="shared" si="0"/>
        <v>1434.84</v>
      </c>
      <c r="G20" s="22" t="str">
        <f t="shared" si="1"/>
        <v>Active</v>
      </c>
      <c r="H20" s="23"/>
      <c r="J20" s="68">
        <v>12</v>
      </c>
      <c r="K20" s="68">
        <f>SUM(F77:F82)</f>
        <v>27362.270000000004</v>
      </c>
      <c r="L20" s="68">
        <f>SUM(D77:D82)</f>
        <v>620.24999999999989</v>
      </c>
      <c r="M20" s="68">
        <f>F82</f>
        <v>0</v>
      </c>
      <c r="O20" s="68">
        <f t="shared" si="2"/>
        <v>2</v>
      </c>
      <c r="P20" s="68">
        <f>IF(B20="", 0, IFERROR(MIN(C20+D20, VLOOKUP(B20, '💳 Debt Input'!$A:$G, 4, FALSE)), 0))</f>
        <v>40</v>
      </c>
    </row>
    <row r="21" spans="1:16" ht="18" customHeight="1" x14ac:dyDescent="0.35">
      <c r="A21" s="49"/>
      <c r="B21" s="6" t="str">
        <f>'💳 Debt Input'!$A$5</f>
        <v>Medical Bill</v>
      </c>
      <c r="C21" s="12">
        <f t="shared" si="3"/>
        <v>476.67</v>
      </c>
      <c r="D21" s="12">
        <f>ROUND(C21*'💳 Debt Input'!$C$5/12,2)</f>
        <v>1.59</v>
      </c>
      <c r="E21" s="12">
        <f>IF(B21="", "", MIN(C21+D21, MAX(P21, $F$3 - SUMIFS(E$10:E20, O$10:O20, O21) - SUMIFS(P22:P$1995, O22:O$1995, O21))))</f>
        <v>25</v>
      </c>
      <c r="F21" s="12">
        <f t="shared" si="0"/>
        <v>453.26</v>
      </c>
      <c r="G21" s="22" t="str">
        <f t="shared" si="1"/>
        <v>Active</v>
      </c>
      <c r="H21" s="23"/>
      <c r="J21" s="68">
        <v>13</v>
      </c>
      <c r="K21" s="68">
        <f>SUM(F83:F88)</f>
        <v>27018.28</v>
      </c>
      <c r="L21" s="68">
        <f>SUM(D83:D88)</f>
        <v>616.01</v>
      </c>
      <c r="M21" s="68">
        <f>F88</f>
        <v>0</v>
      </c>
      <c r="O21" s="68">
        <f t="shared" si="2"/>
        <v>2</v>
      </c>
      <c r="P21" s="68">
        <f>IF(B21="", 0, IFERROR(MIN(C21+D21, VLOOKUP(B21, '💳 Debt Input'!$A:$G, 4, FALSE)), 0))</f>
        <v>25</v>
      </c>
    </row>
    <row r="22" spans="1:16" ht="18" customHeight="1" x14ac:dyDescent="0.35">
      <c r="A22" s="49"/>
      <c r="B22" s="6" t="str">
        <f>'💳 Debt Input'!$A$4</f>
        <v>Store Card</v>
      </c>
      <c r="C22" s="12">
        <f t="shared" si="3"/>
        <v>175.5</v>
      </c>
      <c r="D22" s="12">
        <f>ROUND(C22*'💳 Debt Input'!$C$4/12,2)</f>
        <v>0.44</v>
      </c>
      <c r="E22" s="12">
        <f>IF(B22="", "", MIN(C22+D22, MAX(P22, $F$3 - SUMIFS(E$10:E21, O$10:O21, O22) - SUMIFS(P23:P$1995, O23:O$1995, O22))))</f>
        <v>25</v>
      </c>
      <c r="F22" s="12">
        <f t="shared" si="0"/>
        <v>150.94</v>
      </c>
      <c r="G22" s="22" t="str">
        <f t="shared" si="1"/>
        <v>Active</v>
      </c>
      <c r="H22" s="23"/>
      <c r="J22" s="68">
        <v>14</v>
      </c>
      <c r="K22" s="68">
        <f>SUM(F89:F94)</f>
        <v>26669.969999999998</v>
      </c>
      <c r="L22" s="68">
        <f>SUM(D89:D94)</f>
        <v>611.69000000000005</v>
      </c>
      <c r="M22" s="68">
        <f>F94</f>
        <v>0</v>
      </c>
      <c r="O22" s="68">
        <f t="shared" si="2"/>
        <v>2</v>
      </c>
      <c r="P22" s="68">
        <f>IF(B22="", 0, IFERROR(MIN(C22+D22, VLOOKUP(B22, '💳 Debt Input'!$A:$G, 4, FALSE)), 0))</f>
        <v>25</v>
      </c>
    </row>
    <row r="23" spans="1:16" ht="18" customHeight="1" x14ac:dyDescent="0.35">
      <c r="A23" s="50">
        <v>3</v>
      </c>
      <c r="B23" s="8" t="str">
        <f>'💳 Debt Input'!$A$9</f>
        <v>Rewards Visa</v>
      </c>
      <c r="C23" s="10">
        <f t="shared" si="3"/>
        <v>16000</v>
      </c>
      <c r="D23" s="10">
        <f>ROUND(C23*'💳 Debt Input'!$C$9/12,2)</f>
        <v>480</v>
      </c>
      <c r="E23" s="10">
        <f>IF(B23="", "", MIN(C23+D23, MAX(P23, $F$3 - SUMIFS(E$10:E22, O$10:O22, O23) - SUMIFS(P24:P$1995, O24:O$1995, O23))))</f>
        <v>480</v>
      </c>
      <c r="F23" s="10">
        <f t="shared" si="0"/>
        <v>16000</v>
      </c>
      <c r="G23" s="19" t="str">
        <f t="shared" si="1"/>
        <v>Active</v>
      </c>
      <c r="H23" s="20"/>
      <c r="J23" s="68">
        <v>15</v>
      </c>
      <c r="K23" s="68">
        <f>SUM(F95:F100)</f>
        <v>26317.27</v>
      </c>
      <c r="L23" s="68">
        <f>SUM(D95:D100)</f>
        <v>607.29999999999995</v>
      </c>
      <c r="M23" s="68">
        <f>F100</f>
        <v>0</v>
      </c>
      <c r="O23" s="68">
        <f t="shared" si="2"/>
        <v>3</v>
      </c>
      <c r="P23" s="68">
        <f>IF(B23="", 0, IFERROR(MIN(C23+D23, VLOOKUP(B23, '💳 Debt Input'!$A:$G, 4, FALSE)), 0))</f>
        <v>480</v>
      </c>
    </row>
    <row r="24" spans="1:16" ht="18" customHeight="1" x14ac:dyDescent="0.35">
      <c r="A24" s="47"/>
      <c r="B24" s="8" t="str">
        <f>'💳 Debt Input'!$A$8</f>
        <v>Travel Card</v>
      </c>
      <c r="C24" s="10">
        <f t="shared" si="3"/>
        <v>8727.98</v>
      </c>
      <c r="D24" s="10">
        <f>ROUND(C24*'💳 Debt Input'!$C$8/12,2)</f>
        <v>130.91999999999999</v>
      </c>
      <c r="E24" s="10">
        <f>IF(B24="", "", MIN(C24+D24, MAX(P24, $F$3 - SUMIFS(E$10:E23, O$10:O23, O24) - SUMIFS(P25:P$1995, O25:O$1995, O24))))</f>
        <v>270</v>
      </c>
      <c r="F24" s="10">
        <f t="shared" si="0"/>
        <v>8588.9</v>
      </c>
      <c r="G24" s="19" t="str">
        <f t="shared" si="1"/>
        <v>Active</v>
      </c>
      <c r="H24" s="20"/>
      <c r="J24" s="68">
        <v>16</v>
      </c>
      <c r="K24" s="68">
        <f>SUM(F101:F106)</f>
        <v>25960.12</v>
      </c>
      <c r="L24" s="68">
        <f>SUM(D101:D106)</f>
        <v>602.85</v>
      </c>
      <c r="M24" s="68">
        <f>F106</f>
        <v>0</v>
      </c>
      <c r="O24" s="68">
        <f t="shared" si="2"/>
        <v>3</v>
      </c>
      <c r="P24" s="68">
        <f>IF(B24="", 0, IFERROR(MIN(C24+D24, VLOOKUP(B24, '💳 Debt Input'!$A:$G, 4, FALSE)), 0))</f>
        <v>270</v>
      </c>
    </row>
    <row r="25" spans="1:16" ht="18" customHeight="1" x14ac:dyDescent="0.35">
      <c r="A25" s="47"/>
      <c r="B25" s="8" t="str">
        <f>'💳 Debt Input'!$A$7</f>
        <v>Auto Loan</v>
      </c>
      <c r="C25" s="10">
        <f t="shared" si="3"/>
        <v>3825.94</v>
      </c>
      <c r="D25" s="10">
        <f>ROUND(C25*'💳 Debt Input'!$C$7/12,2)</f>
        <v>31.88</v>
      </c>
      <c r="E25" s="10">
        <f>IF(B25="", "", MIN(C25+D25, MAX(P25, $F$3 - SUMIFS(E$10:E24, O$10:O24, O25) - SUMIFS(P26:P$1995, O26:O$1995, O25))))</f>
        <v>120</v>
      </c>
      <c r="F25" s="10">
        <f t="shared" si="0"/>
        <v>3737.82</v>
      </c>
      <c r="G25" s="19" t="str">
        <f t="shared" si="1"/>
        <v>Active</v>
      </c>
      <c r="H25" s="20"/>
      <c r="J25" s="68">
        <v>17</v>
      </c>
      <c r="K25" s="68">
        <f>SUM(F107:F112)</f>
        <v>25598.45</v>
      </c>
      <c r="L25" s="68">
        <f>SUM(D107:D112)</f>
        <v>598.32999999999993</v>
      </c>
      <c r="M25" s="68">
        <f>F112</f>
        <v>0</v>
      </c>
      <c r="O25" s="68">
        <f t="shared" si="2"/>
        <v>3</v>
      </c>
      <c r="P25" s="68">
        <f>IF(B25="", 0, IFERROR(MIN(C25+D25, VLOOKUP(B25, '💳 Debt Input'!$A:$G, 4, FALSE)), 0))</f>
        <v>120</v>
      </c>
    </row>
    <row r="26" spans="1:16" ht="18" customHeight="1" x14ac:dyDescent="0.35">
      <c r="A26" s="47"/>
      <c r="B26" s="8" t="str">
        <f>'💳 Debt Input'!$A$6</f>
        <v>Personal Loan</v>
      </c>
      <c r="C26" s="10">
        <f t="shared" si="3"/>
        <v>1434.84</v>
      </c>
      <c r="D26" s="10">
        <f>ROUND(C26*'💳 Debt Input'!$C$6/12,2)</f>
        <v>7.17</v>
      </c>
      <c r="E26" s="10">
        <f>IF(B26="", "", MIN(C26+D26, MAX(P26, $F$3 - SUMIFS(E$10:E25, O$10:O25, O26) - SUMIFS(P27:P$1995, O27:O$1995, O26))))</f>
        <v>40</v>
      </c>
      <c r="F26" s="10">
        <f t="shared" si="0"/>
        <v>1402.01</v>
      </c>
      <c r="G26" s="19" t="str">
        <f t="shared" si="1"/>
        <v>Active</v>
      </c>
      <c r="H26" s="20"/>
      <c r="J26" s="68">
        <v>18</v>
      </c>
      <c r="K26" s="68">
        <f>SUM(F113:F118)</f>
        <v>25232.17</v>
      </c>
      <c r="L26" s="68">
        <f>SUM(D113:D118)</f>
        <v>593.72</v>
      </c>
      <c r="M26" s="68">
        <f>F118</f>
        <v>0</v>
      </c>
      <c r="O26" s="68">
        <f t="shared" si="2"/>
        <v>3</v>
      </c>
      <c r="P26" s="68">
        <f>IF(B26="", 0, IFERROR(MIN(C26+D26, VLOOKUP(B26, '💳 Debt Input'!$A:$G, 4, FALSE)), 0))</f>
        <v>40</v>
      </c>
    </row>
    <row r="27" spans="1:16" ht="18" customHeight="1" x14ac:dyDescent="0.35">
      <c r="A27" s="47"/>
      <c r="B27" s="8" t="str">
        <f>'💳 Debt Input'!$A$5</f>
        <v>Medical Bill</v>
      </c>
      <c r="C27" s="10">
        <f t="shared" si="3"/>
        <v>453.26</v>
      </c>
      <c r="D27" s="10">
        <f>ROUND(C27*'💳 Debt Input'!$C$5/12,2)</f>
        <v>1.51</v>
      </c>
      <c r="E27" s="10">
        <f>IF(B27="", "", MIN(C27+D27, MAX(P27, $F$3 - SUMIFS(E$10:E26, O$10:O26, O27) - SUMIFS(P28:P$1995, O28:O$1995, O27))))</f>
        <v>25</v>
      </c>
      <c r="F27" s="10">
        <f t="shared" si="0"/>
        <v>429.77</v>
      </c>
      <c r="G27" s="19" t="str">
        <f t="shared" si="1"/>
        <v>Active</v>
      </c>
      <c r="H27" s="20"/>
      <c r="J27" s="68">
        <v>19</v>
      </c>
      <c r="K27" s="68">
        <f>SUM(F119:F124)</f>
        <v>24861.22</v>
      </c>
      <c r="L27" s="68">
        <f>SUM(D119:D124)</f>
        <v>589.05000000000007</v>
      </c>
      <c r="M27" s="68">
        <f>F124</f>
        <v>0</v>
      </c>
      <c r="O27" s="68">
        <f t="shared" si="2"/>
        <v>3</v>
      </c>
      <c r="P27" s="68">
        <f>IF(B27="", 0, IFERROR(MIN(C27+D27, VLOOKUP(B27, '💳 Debt Input'!$A:$G, 4, FALSE)), 0))</f>
        <v>25</v>
      </c>
    </row>
    <row r="28" spans="1:16" ht="18" customHeight="1" x14ac:dyDescent="0.35">
      <c r="A28" s="47"/>
      <c r="B28" s="8" t="str">
        <f>'💳 Debt Input'!$A$4</f>
        <v>Store Card</v>
      </c>
      <c r="C28" s="10">
        <f t="shared" si="3"/>
        <v>150.94</v>
      </c>
      <c r="D28" s="10">
        <f>ROUND(C28*'💳 Debt Input'!$C$4/12,2)</f>
        <v>0.38</v>
      </c>
      <c r="E28" s="10">
        <f>IF(B28="", "", MIN(C28+D28, MAX(P28, $F$3 - SUMIFS(E$10:E27, O$10:O27, O28) - SUMIFS(P29:P$1995, O29:O$1995, O28))))</f>
        <v>25</v>
      </c>
      <c r="F28" s="10">
        <f t="shared" si="0"/>
        <v>126.32</v>
      </c>
      <c r="G28" s="19" t="str">
        <f t="shared" si="1"/>
        <v>Active</v>
      </c>
      <c r="H28" s="20"/>
      <c r="J28" s="68">
        <v>20</v>
      </c>
      <c r="K28" s="68">
        <f>SUM(F125:F130)</f>
        <v>24485.51</v>
      </c>
      <c r="L28" s="68">
        <f>SUM(D125:D130)</f>
        <v>584.29</v>
      </c>
      <c r="M28" s="68">
        <f>F130</f>
        <v>0</v>
      </c>
      <c r="O28" s="68">
        <f t="shared" si="2"/>
        <v>3</v>
      </c>
      <c r="P28" s="68">
        <f>IF(B28="", 0, IFERROR(MIN(C28+D28, VLOOKUP(B28, '💳 Debt Input'!$A:$G, 4, FALSE)), 0))</f>
        <v>25</v>
      </c>
    </row>
    <row r="29" spans="1:16" ht="18" customHeight="1" x14ac:dyDescent="0.35">
      <c r="A29" s="48">
        <v>4</v>
      </c>
      <c r="B29" s="6" t="str">
        <f>'💳 Debt Input'!$A$9</f>
        <v>Rewards Visa</v>
      </c>
      <c r="C29" s="12">
        <f t="shared" si="3"/>
        <v>16000</v>
      </c>
      <c r="D29" s="12">
        <f>ROUND(C29*'💳 Debt Input'!$C$9/12,2)</f>
        <v>480</v>
      </c>
      <c r="E29" s="12">
        <f>IF(B29="", "", MIN(C29+D29, MAX(P29, $F$3 - SUMIFS(E$10:E28, O$10:O28, O29) - SUMIFS(P30:P$1995, O30:O$1995, O29))))</f>
        <v>480</v>
      </c>
      <c r="F29" s="12">
        <f t="shared" si="0"/>
        <v>16000</v>
      </c>
      <c r="G29" s="22" t="str">
        <f t="shared" si="1"/>
        <v>Active</v>
      </c>
      <c r="H29" s="23"/>
      <c r="J29" s="68">
        <v>21</v>
      </c>
      <c r="K29" s="68">
        <f>SUM(F131:F136)</f>
        <v>24104.969999999998</v>
      </c>
      <c r="L29" s="68">
        <f>SUM(D131:D136)</f>
        <v>579.46</v>
      </c>
      <c r="M29" s="68">
        <f>F136</f>
        <v>0</v>
      </c>
      <c r="O29" s="68">
        <f t="shared" si="2"/>
        <v>4</v>
      </c>
      <c r="P29" s="68">
        <f>IF(B29="", 0, IFERROR(MIN(C29+D29, VLOOKUP(B29, '💳 Debt Input'!$A:$G, 4, FALSE)), 0))</f>
        <v>480</v>
      </c>
    </row>
    <row r="30" spans="1:16" ht="18" customHeight="1" x14ac:dyDescent="0.35">
      <c r="A30" s="49"/>
      <c r="B30" s="6" t="str">
        <f>'💳 Debt Input'!$A$8</f>
        <v>Travel Card</v>
      </c>
      <c r="C30" s="12">
        <f t="shared" si="3"/>
        <v>8588.9</v>
      </c>
      <c r="D30" s="12">
        <f>ROUND(C30*'💳 Debt Input'!$C$8/12,2)</f>
        <v>128.83000000000001</v>
      </c>
      <c r="E30" s="12">
        <f>IF(B30="", "", MIN(C30+D30, MAX(P30, $F$3 - SUMIFS(E$10:E29, O$10:O29, O30) - SUMIFS(P31:P$1995, O31:O$1995, O30))))</f>
        <v>270</v>
      </c>
      <c r="F30" s="12">
        <f t="shared" si="0"/>
        <v>8447.73</v>
      </c>
      <c r="G30" s="22" t="str">
        <f t="shared" si="1"/>
        <v>Active</v>
      </c>
      <c r="H30" s="23"/>
      <c r="J30" s="68">
        <v>22</v>
      </c>
      <c r="K30" s="68">
        <f>SUM(F137:F142)</f>
        <v>23719.350000000002</v>
      </c>
      <c r="L30" s="68">
        <f>SUM(D137:D142)</f>
        <v>574.38</v>
      </c>
      <c r="M30" s="68">
        <f>F142</f>
        <v>0</v>
      </c>
      <c r="O30" s="68">
        <f t="shared" si="2"/>
        <v>4</v>
      </c>
      <c r="P30" s="68">
        <f>IF(B30="", 0, IFERROR(MIN(C30+D30, VLOOKUP(B30, '💳 Debt Input'!$A:$G, 4, FALSE)), 0))</f>
        <v>270</v>
      </c>
    </row>
    <row r="31" spans="1:16" ht="18" customHeight="1" x14ac:dyDescent="0.35">
      <c r="A31" s="49"/>
      <c r="B31" s="6" t="str">
        <f>'💳 Debt Input'!$A$7</f>
        <v>Auto Loan</v>
      </c>
      <c r="C31" s="12">
        <f t="shared" si="3"/>
        <v>3737.82</v>
      </c>
      <c r="D31" s="12">
        <f>ROUND(C31*'💳 Debt Input'!$C$7/12,2)</f>
        <v>31.15</v>
      </c>
      <c r="E31" s="12">
        <f>IF(B31="", "", MIN(C31+D31, MAX(P31, $F$3 - SUMIFS(E$10:E30, O$10:O30, O31) - SUMIFS(P32:P$1995, O32:O$1995, O31))))</f>
        <v>120</v>
      </c>
      <c r="F31" s="12">
        <f t="shared" si="0"/>
        <v>3648.97</v>
      </c>
      <c r="G31" s="22" t="str">
        <f t="shared" si="1"/>
        <v>Active</v>
      </c>
      <c r="H31" s="23"/>
      <c r="J31" s="68">
        <v>23</v>
      </c>
      <c r="K31" s="68">
        <f>SUM(F143:F148)</f>
        <v>23328.06</v>
      </c>
      <c r="L31" s="68">
        <f>SUM(D143:D148)</f>
        <v>568.71</v>
      </c>
      <c r="M31" s="68">
        <f>F148</f>
        <v>0</v>
      </c>
      <c r="O31" s="68">
        <f t="shared" si="2"/>
        <v>4</v>
      </c>
      <c r="P31" s="68">
        <f>IF(B31="", 0, IFERROR(MIN(C31+D31, VLOOKUP(B31, '💳 Debt Input'!$A:$G, 4, FALSE)), 0))</f>
        <v>120</v>
      </c>
    </row>
    <row r="32" spans="1:16" ht="18" customHeight="1" x14ac:dyDescent="0.35">
      <c r="A32" s="49"/>
      <c r="B32" s="6" t="str">
        <f>'💳 Debt Input'!$A$6</f>
        <v>Personal Loan</v>
      </c>
      <c r="C32" s="12">
        <f t="shared" si="3"/>
        <v>1402.01</v>
      </c>
      <c r="D32" s="12">
        <f>ROUND(C32*'💳 Debt Input'!$C$6/12,2)</f>
        <v>7.01</v>
      </c>
      <c r="E32" s="12">
        <f>IF(B32="", "", MIN(C32+D32, MAX(P32, $F$3 - SUMIFS(E$10:E31, O$10:O31, O32) - SUMIFS(P33:P$1995, O33:O$1995, O32))))</f>
        <v>40</v>
      </c>
      <c r="F32" s="12">
        <f t="shared" si="0"/>
        <v>1369.02</v>
      </c>
      <c r="G32" s="22" t="str">
        <f t="shared" si="1"/>
        <v>Active</v>
      </c>
      <c r="H32" s="23"/>
      <c r="J32" s="68">
        <v>24</v>
      </c>
      <c r="K32" s="68">
        <f>SUM(F149:F154)</f>
        <v>22931.01</v>
      </c>
      <c r="L32" s="68">
        <f>SUM(D149:D154)</f>
        <v>562.94999999999993</v>
      </c>
      <c r="M32" s="68">
        <f>F154</f>
        <v>0</v>
      </c>
      <c r="O32" s="68">
        <f t="shared" si="2"/>
        <v>4</v>
      </c>
      <c r="P32" s="68">
        <f>IF(B32="", 0, IFERROR(MIN(C32+D32, VLOOKUP(B32, '💳 Debt Input'!$A:$G, 4, FALSE)), 0))</f>
        <v>40</v>
      </c>
    </row>
    <row r="33" spans="1:16" ht="18" customHeight="1" x14ac:dyDescent="0.35">
      <c r="A33" s="49"/>
      <c r="B33" s="6" t="str">
        <f>'💳 Debt Input'!$A$5</f>
        <v>Medical Bill</v>
      </c>
      <c r="C33" s="12">
        <f t="shared" si="3"/>
        <v>429.77</v>
      </c>
      <c r="D33" s="12">
        <f>ROUND(C33*'💳 Debt Input'!$C$5/12,2)</f>
        <v>1.43</v>
      </c>
      <c r="E33" s="12">
        <f>IF(B33="", "", MIN(C33+D33, MAX(P33, $F$3 - SUMIFS(E$10:E32, O$10:O32, O33) - SUMIFS(P34:P$1995, O34:O$1995, O33))))</f>
        <v>25</v>
      </c>
      <c r="F33" s="12">
        <f t="shared" si="0"/>
        <v>406.2</v>
      </c>
      <c r="G33" s="22" t="str">
        <f t="shared" si="1"/>
        <v>Active</v>
      </c>
      <c r="H33" s="23"/>
      <c r="J33" s="68">
        <v>25</v>
      </c>
      <c r="K33" s="68">
        <f>SUM(F155:F160)</f>
        <v>22528.080000000002</v>
      </c>
      <c r="L33" s="68">
        <f>SUM(D155:D160)</f>
        <v>557.07000000000005</v>
      </c>
      <c r="M33" s="68">
        <f>F160</f>
        <v>0</v>
      </c>
      <c r="O33" s="68">
        <f t="shared" si="2"/>
        <v>4</v>
      </c>
      <c r="P33" s="68">
        <f>IF(B33="", 0, IFERROR(MIN(C33+D33, VLOOKUP(B33, '💳 Debt Input'!$A:$G, 4, FALSE)), 0))</f>
        <v>25</v>
      </c>
    </row>
    <row r="34" spans="1:16" ht="18" customHeight="1" x14ac:dyDescent="0.35">
      <c r="A34" s="49"/>
      <c r="B34" s="6" t="str">
        <f>'💳 Debt Input'!$A$4</f>
        <v>Store Card</v>
      </c>
      <c r="C34" s="12">
        <f t="shared" si="3"/>
        <v>126.32</v>
      </c>
      <c r="D34" s="12">
        <f>ROUND(C34*'💳 Debt Input'!$C$4/12,2)</f>
        <v>0.32</v>
      </c>
      <c r="E34" s="12">
        <f>IF(B34="", "", MIN(C34+D34, MAX(P34, $F$3 - SUMIFS(E$10:E33, O$10:O33, O34) - SUMIFS(P35:P$1995, O35:O$1995, O34))))</f>
        <v>25</v>
      </c>
      <c r="F34" s="12">
        <f t="shared" si="0"/>
        <v>101.64</v>
      </c>
      <c r="G34" s="22" t="str">
        <f t="shared" si="1"/>
        <v>Active</v>
      </c>
      <c r="H34" s="23"/>
      <c r="J34" s="68">
        <v>26</v>
      </c>
      <c r="K34" s="68">
        <f>SUM(F161:F166)</f>
        <v>22119.16</v>
      </c>
      <c r="L34" s="68">
        <f>SUM(D161:D166)</f>
        <v>551.07999999999993</v>
      </c>
      <c r="M34" s="68">
        <f>F166</f>
        <v>0</v>
      </c>
      <c r="O34" s="68">
        <f t="shared" si="2"/>
        <v>4</v>
      </c>
      <c r="P34" s="68">
        <f>IF(B34="", 0, IFERROR(MIN(C34+D34, VLOOKUP(B34, '💳 Debt Input'!$A:$G, 4, FALSE)), 0))</f>
        <v>25</v>
      </c>
    </row>
    <row r="35" spans="1:16" ht="18" customHeight="1" x14ac:dyDescent="0.35">
      <c r="A35" s="50">
        <v>5</v>
      </c>
      <c r="B35" s="8" t="str">
        <f>'💳 Debt Input'!$A$9</f>
        <v>Rewards Visa</v>
      </c>
      <c r="C35" s="10">
        <f t="shared" si="3"/>
        <v>16000</v>
      </c>
      <c r="D35" s="10">
        <f>ROUND(C35*'💳 Debt Input'!$C$9/12,2)</f>
        <v>480</v>
      </c>
      <c r="E35" s="10">
        <f>IF(B35="", "", MIN(C35+D35, MAX(P35, $F$3 - SUMIFS(E$10:E34, O$10:O34, O35) - SUMIFS(P36:P$1995, O36:O$1995, O35))))</f>
        <v>480</v>
      </c>
      <c r="F35" s="10">
        <f t="shared" si="0"/>
        <v>16000</v>
      </c>
      <c r="G35" s="19" t="str">
        <f t="shared" si="1"/>
        <v>Active</v>
      </c>
      <c r="H35" s="20"/>
      <c r="J35" s="68">
        <v>27</v>
      </c>
      <c r="K35" s="68">
        <f>SUM(F167:F172)</f>
        <v>21704.14</v>
      </c>
      <c r="L35" s="68">
        <f>SUM(D167:D172)</f>
        <v>544.98</v>
      </c>
      <c r="M35" s="68">
        <f>F172</f>
        <v>0</v>
      </c>
      <c r="O35" s="68">
        <f t="shared" si="2"/>
        <v>5</v>
      </c>
      <c r="P35" s="68">
        <f>IF(B35="", 0, IFERROR(MIN(C35+D35, VLOOKUP(B35, '💳 Debt Input'!$A:$G, 4, FALSE)), 0))</f>
        <v>480</v>
      </c>
    </row>
    <row r="36" spans="1:16" ht="18" customHeight="1" x14ac:dyDescent="0.35">
      <c r="A36" s="47"/>
      <c r="B36" s="8" t="str">
        <f>'💳 Debt Input'!$A$8</f>
        <v>Travel Card</v>
      </c>
      <c r="C36" s="10">
        <f t="shared" si="3"/>
        <v>8447.73</v>
      </c>
      <c r="D36" s="10">
        <f>ROUND(C36*'💳 Debt Input'!$C$8/12,2)</f>
        <v>126.72</v>
      </c>
      <c r="E36" s="10">
        <f>IF(B36="", "", MIN(C36+D36, MAX(P36, $F$3 - SUMIFS(E$10:E35, O$10:O35, O36) - SUMIFS(P37:P$1995, O37:O$1995, O36))))</f>
        <v>270</v>
      </c>
      <c r="F36" s="10">
        <f t="shared" si="0"/>
        <v>8304.4500000000007</v>
      </c>
      <c r="G36" s="19" t="str">
        <f t="shared" si="1"/>
        <v>Active</v>
      </c>
      <c r="H36" s="20"/>
      <c r="J36" s="68">
        <v>28</v>
      </c>
      <c r="K36" s="68">
        <f>SUM(F173:F178)</f>
        <v>21282.92</v>
      </c>
      <c r="L36" s="68">
        <f>SUM(D173:D178)</f>
        <v>538.78000000000009</v>
      </c>
      <c r="M36" s="68">
        <f>F178</f>
        <v>0</v>
      </c>
      <c r="O36" s="68">
        <f t="shared" si="2"/>
        <v>5</v>
      </c>
      <c r="P36" s="68">
        <f>IF(B36="", 0, IFERROR(MIN(C36+D36, VLOOKUP(B36, '💳 Debt Input'!$A:$G, 4, FALSE)), 0))</f>
        <v>270</v>
      </c>
    </row>
    <row r="37" spans="1:16" ht="18" customHeight="1" x14ac:dyDescent="0.35">
      <c r="A37" s="47"/>
      <c r="B37" s="8" t="str">
        <f>'💳 Debt Input'!$A$7</f>
        <v>Auto Loan</v>
      </c>
      <c r="C37" s="10">
        <f t="shared" si="3"/>
        <v>3648.97</v>
      </c>
      <c r="D37" s="10">
        <f>ROUND(C37*'💳 Debt Input'!$C$7/12,2)</f>
        <v>30.41</v>
      </c>
      <c r="E37" s="10">
        <f>IF(B37="", "", MIN(C37+D37, MAX(P37, $F$3 - SUMIFS(E$10:E36, O$10:O36, O37) - SUMIFS(P38:P$1995, O38:O$1995, O37))))</f>
        <v>120</v>
      </c>
      <c r="F37" s="10">
        <f t="shared" si="0"/>
        <v>3559.38</v>
      </c>
      <c r="G37" s="19" t="str">
        <f t="shared" si="1"/>
        <v>Active</v>
      </c>
      <c r="H37" s="20"/>
      <c r="J37" s="68">
        <v>29</v>
      </c>
      <c r="K37" s="68">
        <f>SUM(F179:F184)</f>
        <v>20855.37</v>
      </c>
      <c r="L37" s="68">
        <f>SUM(D179:D184)</f>
        <v>532.45000000000005</v>
      </c>
      <c r="M37" s="68">
        <f>F184</f>
        <v>0</v>
      </c>
      <c r="O37" s="68">
        <f t="shared" si="2"/>
        <v>5</v>
      </c>
      <c r="P37" s="68">
        <f>IF(B37="", 0, IFERROR(MIN(C37+D37, VLOOKUP(B37, '💳 Debt Input'!$A:$G, 4, FALSE)), 0))</f>
        <v>120</v>
      </c>
    </row>
    <row r="38" spans="1:16" ht="18" customHeight="1" x14ac:dyDescent="0.35">
      <c r="A38" s="47"/>
      <c r="B38" s="8" t="str">
        <f>'💳 Debt Input'!$A$6</f>
        <v>Personal Loan</v>
      </c>
      <c r="C38" s="10">
        <f t="shared" si="3"/>
        <v>1369.02</v>
      </c>
      <c r="D38" s="10">
        <f>ROUND(C38*'💳 Debt Input'!$C$6/12,2)</f>
        <v>6.85</v>
      </c>
      <c r="E38" s="10">
        <f>IF(B38="", "", MIN(C38+D38, MAX(P38, $F$3 - SUMIFS(E$10:E37, O$10:O37, O38) - SUMIFS(P39:P$1995, O39:O$1995, O38))))</f>
        <v>40</v>
      </c>
      <c r="F38" s="10">
        <f t="shared" si="0"/>
        <v>1335.87</v>
      </c>
      <c r="G38" s="19" t="str">
        <f t="shared" si="1"/>
        <v>Active</v>
      </c>
      <c r="H38" s="20"/>
      <c r="J38" s="68">
        <v>30</v>
      </c>
      <c r="K38" s="68">
        <f>SUM(F185:F190)</f>
        <v>20421.359999999997</v>
      </c>
      <c r="L38" s="68">
        <f>SUM(D185:D190)</f>
        <v>525.99</v>
      </c>
      <c r="M38" s="68">
        <f>F190</f>
        <v>0</v>
      </c>
      <c r="O38" s="68">
        <f t="shared" si="2"/>
        <v>5</v>
      </c>
      <c r="P38" s="68">
        <f>IF(B38="", 0, IFERROR(MIN(C38+D38, VLOOKUP(B38, '💳 Debt Input'!$A:$G, 4, FALSE)), 0))</f>
        <v>40</v>
      </c>
    </row>
    <row r="39" spans="1:16" ht="18" customHeight="1" x14ac:dyDescent="0.35">
      <c r="A39" s="47"/>
      <c r="B39" s="8" t="str">
        <f>'💳 Debt Input'!$A$5</f>
        <v>Medical Bill</v>
      </c>
      <c r="C39" s="10">
        <f t="shared" si="3"/>
        <v>406.2</v>
      </c>
      <c r="D39" s="10">
        <f>ROUND(C39*'💳 Debt Input'!$C$5/12,2)</f>
        <v>1.35</v>
      </c>
      <c r="E39" s="10">
        <f>IF(B39="", "", MIN(C39+D39, MAX(P39, $F$3 - SUMIFS(E$10:E38, O$10:O38, O39) - SUMIFS(P40:P$1995, O40:O$1995, O39))))</f>
        <v>25</v>
      </c>
      <c r="F39" s="10">
        <f t="shared" si="0"/>
        <v>382.55</v>
      </c>
      <c r="G39" s="19" t="str">
        <f t="shared" si="1"/>
        <v>Active</v>
      </c>
      <c r="H39" s="20"/>
      <c r="J39" s="68">
        <v>31</v>
      </c>
      <c r="K39" s="68">
        <f>SUM(F191:F196)</f>
        <v>19980.769999999997</v>
      </c>
      <c r="L39" s="68">
        <f>SUM(D191:D196)</f>
        <v>519.41000000000008</v>
      </c>
      <c r="M39" s="68">
        <f>F196</f>
        <v>0</v>
      </c>
      <c r="O39" s="68">
        <f t="shared" si="2"/>
        <v>5</v>
      </c>
      <c r="P39" s="68">
        <f>IF(B39="", 0, IFERROR(MIN(C39+D39, VLOOKUP(B39, '💳 Debt Input'!$A:$G, 4, FALSE)), 0))</f>
        <v>25</v>
      </c>
    </row>
    <row r="40" spans="1:16" ht="18" customHeight="1" x14ac:dyDescent="0.35">
      <c r="A40" s="47"/>
      <c r="B40" s="8" t="str">
        <f>'💳 Debt Input'!$A$4</f>
        <v>Store Card</v>
      </c>
      <c r="C40" s="10">
        <f t="shared" si="3"/>
        <v>101.64</v>
      </c>
      <c r="D40" s="10">
        <f>ROUND(C40*'💳 Debt Input'!$C$4/12,2)</f>
        <v>0.25</v>
      </c>
      <c r="E40" s="10">
        <f>IF(B40="", "", MIN(C40+D40, MAX(P40, $F$3 - SUMIFS(E$10:E39, O$10:O39, O40) - SUMIFS(P41:P$1995, O41:O$1995, O40))))</f>
        <v>25</v>
      </c>
      <c r="F40" s="10">
        <f t="shared" si="0"/>
        <v>76.89</v>
      </c>
      <c r="G40" s="19" t="str">
        <f t="shared" si="1"/>
        <v>Active</v>
      </c>
      <c r="H40" s="20"/>
      <c r="J40" s="68">
        <v>32</v>
      </c>
      <c r="K40" s="68">
        <f>SUM(F197:F202)</f>
        <v>19533.500000000004</v>
      </c>
      <c r="L40" s="68">
        <f>SUM(D197:D202)</f>
        <v>512.73</v>
      </c>
      <c r="M40" s="68">
        <f>F202</f>
        <v>0</v>
      </c>
      <c r="O40" s="68">
        <f t="shared" si="2"/>
        <v>5</v>
      </c>
      <c r="P40" s="68">
        <f>IF(B40="", 0, IFERROR(MIN(C40+D40, VLOOKUP(B40, '💳 Debt Input'!$A:$G, 4, FALSE)), 0))</f>
        <v>25</v>
      </c>
    </row>
    <row r="41" spans="1:16" ht="18" customHeight="1" x14ac:dyDescent="0.35">
      <c r="A41" s="48">
        <v>6</v>
      </c>
      <c r="B41" s="6" t="str">
        <f>'💳 Debt Input'!$A$9</f>
        <v>Rewards Visa</v>
      </c>
      <c r="C41" s="12">
        <f t="shared" si="3"/>
        <v>16000</v>
      </c>
      <c r="D41" s="12">
        <f>ROUND(C41*'💳 Debt Input'!$C$9/12,2)</f>
        <v>480</v>
      </c>
      <c r="E41" s="12">
        <f>IF(B41="", "", MIN(C41+D41, MAX(P41, $F$3 - SUMIFS(E$10:E40, O$10:O40, O41) - SUMIFS(P42:P$1995, O42:O$1995, O41))))</f>
        <v>480</v>
      </c>
      <c r="F41" s="12">
        <f t="shared" si="0"/>
        <v>16000</v>
      </c>
      <c r="G41" s="22" t="str">
        <f t="shared" si="1"/>
        <v>Active</v>
      </c>
      <c r="H41" s="23"/>
      <c r="J41" s="68">
        <v>33</v>
      </c>
      <c r="K41" s="68">
        <f>SUM(F203:F208)</f>
        <v>19079.39</v>
      </c>
      <c r="L41" s="68">
        <f>SUM(D203:D208)</f>
        <v>505.89000000000004</v>
      </c>
      <c r="M41" s="68">
        <f>F208</f>
        <v>0</v>
      </c>
      <c r="O41" s="68">
        <f t="shared" si="2"/>
        <v>6</v>
      </c>
      <c r="P41" s="68">
        <f>IF(B41="", 0, IFERROR(MIN(C41+D41, VLOOKUP(B41, '💳 Debt Input'!$A:$G, 4, FALSE)), 0))</f>
        <v>480</v>
      </c>
    </row>
    <row r="42" spans="1:16" ht="18" customHeight="1" x14ac:dyDescent="0.35">
      <c r="A42" s="49"/>
      <c r="B42" s="6" t="str">
        <f>'💳 Debt Input'!$A$8</f>
        <v>Travel Card</v>
      </c>
      <c r="C42" s="12">
        <f t="shared" si="3"/>
        <v>8304.4500000000007</v>
      </c>
      <c r="D42" s="12">
        <f>ROUND(C42*'💳 Debt Input'!$C$8/12,2)</f>
        <v>124.57</v>
      </c>
      <c r="E42" s="12">
        <f>IF(B42="", "", MIN(C42+D42, MAX(P42, $F$3 - SUMIFS(E$10:E41, O$10:O41, O42) - SUMIFS(P43:P$1995, O43:O$1995, O42))))</f>
        <v>270</v>
      </c>
      <c r="F42" s="12">
        <f t="shared" si="0"/>
        <v>8159.02</v>
      </c>
      <c r="G42" s="22" t="str">
        <f t="shared" si="1"/>
        <v>Active</v>
      </c>
      <c r="H42" s="23"/>
      <c r="J42" s="68">
        <v>34</v>
      </c>
      <c r="K42" s="68">
        <f>SUM(F209:F214)</f>
        <v>18618.330000000002</v>
      </c>
      <c r="L42" s="68">
        <f>SUM(D209:D214)</f>
        <v>498.94</v>
      </c>
      <c r="M42" s="68">
        <f>F214</f>
        <v>0</v>
      </c>
      <c r="O42" s="68">
        <f t="shared" si="2"/>
        <v>6</v>
      </c>
      <c r="P42" s="68">
        <f>IF(B42="", 0, IFERROR(MIN(C42+D42, VLOOKUP(B42, '💳 Debt Input'!$A:$G, 4, FALSE)), 0))</f>
        <v>270</v>
      </c>
    </row>
    <row r="43" spans="1:16" ht="18" customHeight="1" x14ac:dyDescent="0.35">
      <c r="A43" s="49"/>
      <c r="B43" s="6" t="str">
        <f>'💳 Debt Input'!$A$7</f>
        <v>Auto Loan</v>
      </c>
      <c r="C43" s="12">
        <f t="shared" si="3"/>
        <v>3559.38</v>
      </c>
      <c r="D43" s="12">
        <f>ROUND(C43*'💳 Debt Input'!$C$7/12,2)</f>
        <v>29.66</v>
      </c>
      <c r="E43" s="12">
        <f>IF(B43="", "", MIN(C43+D43, MAX(P43, $F$3 - SUMIFS(E$10:E42, O$10:O42, O43) - SUMIFS(P44:P$1995, O44:O$1995, O43))))</f>
        <v>120</v>
      </c>
      <c r="F43" s="12">
        <f t="shared" si="0"/>
        <v>3469.04</v>
      </c>
      <c r="G43" s="22" t="str">
        <f t="shared" si="1"/>
        <v>Active</v>
      </c>
      <c r="H43" s="23"/>
      <c r="J43" s="68">
        <v>35</v>
      </c>
      <c r="K43" s="68">
        <f>SUM(F215:F220)</f>
        <v>18150.159999999996</v>
      </c>
      <c r="L43" s="68">
        <f>SUM(D215:D220)</f>
        <v>491.83000000000004</v>
      </c>
      <c r="M43" s="68">
        <f>F220</f>
        <v>0</v>
      </c>
      <c r="O43" s="68">
        <f t="shared" si="2"/>
        <v>6</v>
      </c>
      <c r="P43" s="68">
        <f>IF(B43="", 0, IFERROR(MIN(C43+D43, VLOOKUP(B43, '💳 Debt Input'!$A:$G, 4, FALSE)), 0))</f>
        <v>120</v>
      </c>
    </row>
    <row r="44" spans="1:16" ht="18" customHeight="1" x14ac:dyDescent="0.35">
      <c r="A44" s="49"/>
      <c r="B44" s="6" t="str">
        <f>'💳 Debt Input'!$A$6</f>
        <v>Personal Loan</v>
      </c>
      <c r="C44" s="12">
        <f t="shared" si="3"/>
        <v>1335.87</v>
      </c>
      <c r="D44" s="12">
        <f>ROUND(C44*'💳 Debt Input'!$C$6/12,2)</f>
        <v>6.68</v>
      </c>
      <c r="E44" s="12">
        <f>IF(B44="", "", MIN(C44+D44, MAX(P44, $F$3 - SUMIFS(E$10:E43, O$10:O43, O44) - SUMIFS(P45:P$1995, O45:O$1995, O44))))</f>
        <v>40</v>
      </c>
      <c r="F44" s="12">
        <f t="shared" si="0"/>
        <v>1302.55</v>
      </c>
      <c r="G44" s="22" t="str">
        <f t="shared" si="1"/>
        <v>Active</v>
      </c>
      <c r="H44" s="23"/>
      <c r="J44" s="68">
        <v>36</v>
      </c>
      <c r="K44" s="68">
        <f>SUM(F221:F226)</f>
        <v>17674.759999999998</v>
      </c>
      <c r="L44" s="68">
        <f>SUM(D221:D226)</f>
        <v>484.6</v>
      </c>
      <c r="M44" s="68">
        <f>F226</f>
        <v>0</v>
      </c>
      <c r="O44" s="68">
        <f t="shared" si="2"/>
        <v>6</v>
      </c>
      <c r="P44" s="68">
        <f>IF(B44="", 0, IFERROR(MIN(C44+D44, VLOOKUP(B44, '💳 Debt Input'!$A:$G, 4, FALSE)), 0))</f>
        <v>40</v>
      </c>
    </row>
    <row r="45" spans="1:16" ht="18" customHeight="1" x14ac:dyDescent="0.35">
      <c r="A45" s="49"/>
      <c r="B45" s="6" t="str">
        <f>'💳 Debt Input'!$A$5</f>
        <v>Medical Bill</v>
      </c>
      <c r="C45" s="12">
        <f t="shared" si="3"/>
        <v>382.55</v>
      </c>
      <c r="D45" s="12">
        <f>ROUND(C45*'💳 Debt Input'!$C$5/12,2)</f>
        <v>1.28</v>
      </c>
      <c r="E45" s="12">
        <f>IF(B45="", "", MIN(C45+D45, MAX(P45, $F$3 - SUMIFS(E$10:E44, O$10:O44, O45) - SUMIFS(P46:P$1995, O46:O$1995, O45))))</f>
        <v>25</v>
      </c>
      <c r="F45" s="12">
        <f t="shared" si="0"/>
        <v>358.83</v>
      </c>
      <c r="G45" s="22" t="str">
        <f t="shared" si="1"/>
        <v>Active</v>
      </c>
      <c r="H45" s="23"/>
      <c r="J45" s="68">
        <v>37</v>
      </c>
      <c r="K45" s="68">
        <f>SUM(F227:F232)</f>
        <v>17192</v>
      </c>
      <c r="L45" s="68">
        <f>SUM(D227:D232)</f>
        <v>477.24</v>
      </c>
      <c r="M45" s="68">
        <f>F232</f>
        <v>0</v>
      </c>
      <c r="O45" s="68">
        <f t="shared" si="2"/>
        <v>6</v>
      </c>
      <c r="P45" s="68">
        <f>IF(B45="", 0, IFERROR(MIN(C45+D45, VLOOKUP(B45, '💳 Debt Input'!$A:$G, 4, FALSE)), 0))</f>
        <v>25</v>
      </c>
    </row>
    <row r="46" spans="1:16" ht="18" customHeight="1" x14ac:dyDescent="0.35">
      <c r="A46" s="49"/>
      <c r="B46" s="6" t="str">
        <f>'💳 Debt Input'!$A$4</f>
        <v>Store Card</v>
      </c>
      <c r="C46" s="12">
        <f t="shared" si="3"/>
        <v>76.89</v>
      </c>
      <c r="D46" s="12">
        <f>ROUND(C46*'💳 Debt Input'!$C$4/12,2)</f>
        <v>0.19</v>
      </c>
      <c r="E46" s="12">
        <f>IF(B46="", "", MIN(C46+D46, MAX(P46, $F$3 - SUMIFS(E$10:E45, O$10:O45, O46) - SUMIFS(P47:P$1995, O47:O$1995, O46))))</f>
        <v>25</v>
      </c>
      <c r="F46" s="12">
        <f t="shared" si="0"/>
        <v>52.08</v>
      </c>
      <c r="G46" s="22" t="str">
        <f t="shared" si="1"/>
        <v>Active</v>
      </c>
      <c r="H46" s="23"/>
      <c r="J46" s="68">
        <v>38</v>
      </c>
      <c r="K46" s="68">
        <f>SUM(F233:F238)</f>
        <v>16701.71</v>
      </c>
      <c r="L46" s="68">
        <f>SUM(D233:D238)</f>
        <v>469.71000000000004</v>
      </c>
      <c r="M46" s="68">
        <f>F238</f>
        <v>0</v>
      </c>
      <c r="O46" s="68">
        <f t="shared" si="2"/>
        <v>6</v>
      </c>
      <c r="P46" s="68">
        <f>IF(B46="", 0, IFERROR(MIN(C46+D46, VLOOKUP(B46, '💳 Debt Input'!$A:$G, 4, FALSE)), 0))</f>
        <v>25</v>
      </c>
    </row>
    <row r="47" spans="1:16" ht="18" customHeight="1" x14ac:dyDescent="0.35">
      <c r="A47" s="50">
        <v>7</v>
      </c>
      <c r="B47" s="8" t="str">
        <f>'💳 Debt Input'!$A$9</f>
        <v>Rewards Visa</v>
      </c>
      <c r="C47" s="10">
        <f t="shared" si="3"/>
        <v>16000</v>
      </c>
      <c r="D47" s="10">
        <f>ROUND(C47*'💳 Debt Input'!$C$9/12,2)</f>
        <v>480</v>
      </c>
      <c r="E47" s="10">
        <f>IF(B47="", "", MIN(C47+D47, MAX(P47, $F$3 - SUMIFS(E$10:E46, O$10:O46, O47) - SUMIFS(P48:P$1995, O48:O$1995, O47))))</f>
        <v>480</v>
      </c>
      <c r="F47" s="10">
        <f t="shared" si="0"/>
        <v>16000</v>
      </c>
      <c r="G47" s="19" t="str">
        <f t="shared" si="1"/>
        <v>Active</v>
      </c>
      <c r="H47" s="20"/>
      <c r="J47" s="68">
        <v>39</v>
      </c>
      <c r="K47" s="68">
        <f>SUM(F239:F244)</f>
        <v>16203.75</v>
      </c>
      <c r="L47" s="68">
        <f>SUM(D239:D244)</f>
        <v>462.04</v>
      </c>
      <c r="M47" s="68">
        <f>F244</f>
        <v>0</v>
      </c>
      <c r="O47" s="68">
        <f t="shared" si="2"/>
        <v>7</v>
      </c>
      <c r="P47" s="68">
        <f>IF(B47="", 0, IFERROR(MIN(C47+D47, VLOOKUP(B47, '💳 Debt Input'!$A:$G, 4, FALSE)), 0))</f>
        <v>480</v>
      </c>
    </row>
    <row r="48" spans="1:16" ht="18" customHeight="1" x14ac:dyDescent="0.35">
      <c r="A48" s="47"/>
      <c r="B48" s="8" t="str">
        <f>'💳 Debt Input'!$A$8</f>
        <v>Travel Card</v>
      </c>
      <c r="C48" s="10">
        <f t="shared" si="3"/>
        <v>8159.02</v>
      </c>
      <c r="D48" s="10">
        <f>ROUND(C48*'💳 Debt Input'!$C$8/12,2)</f>
        <v>122.39</v>
      </c>
      <c r="E48" s="10">
        <f>IF(B48="", "", MIN(C48+D48, MAX(P48, $F$3 - SUMIFS(E$10:E47, O$10:O47, O48) - SUMIFS(P49:P$1995, O49:O$1995, O48))))</f>
        <v>270</v>
      </c>
      <c r="F48" s="10">
        <f t="shared" si="0"/>
        <v>8011.41</v>
      </c>
      <c r="G48" s="19" t="str">
        <f t="shared" si="1"/>
        <v>Active</v>
      </c>
      <c r="H48" s="20"/>
      <c r="J48" s="68">
        <v>40</v>
      </c>
      <c r="K48" s="68">
        <f>SUM(F245:F250)</f>
        <v>15697.98</v>
      </c>
      <c r="L48" s="68">
        <f>SUM(D245:D250)</f>
        <v>454.22999999999996</v>
      </c>
      <c r="M48" s="68">
        <f>F250</f>
        <v>0</v>
      </c>
      <c r="O48" s="68">
        <f t="shared" si="2"/>
        <v>7</v>
      </c>
      <c r="P48" s="68">
        <f>IF(B48="", 0, IFERROR(MIN(C48+D48, VLOOKUP(B48, '💳 Debt Input'!$A:$G, 4, FALSE)), 0))</f>
        <v>270</v>
      </c>
    </row>
    <row r="49" spans="1:16" ht="18" customHeight="1" x14ac:dyDescent="0.35">
      <c r="A49" s="47"/>
      <c r="B49" s="8" t="str">
        <f>'💳 Debt Input'!$A$7</f>
        <v>Auto Loan</v>
      </c>
      <c r="C49" s="10">
        <f t="shared" si="3"/>
        <v>3469.04</v>
      </c>
      <c r="D49" s="10">
        <f>ROUND(C49*'💳 Debt Input'!$C$7/12,2)</f>
        <v>28.91</v>
      </c>
      <c r="E49" s="10">
        <f>IF(B49="", "", MIN(C49+D49, MAX(P49, $F$3 - SUMIFS(E$10:E48, O$10:O48, O49) - SUMIFS(P50:P$1995, O50:O$1995, O49))))</f>
        <v>120</v>
      </c>
      <c r="F49" s="10">
        <f t="shared" si="0"/>
        <v>3377.95</v>
      </c>
      <c r="G49" s="19" t="str">
        <f t="shared" si="1"/>
        <v>Active</v>
      </c>
      <c r="H49" s="20"/>
      <c r="J49" s="68">
        <v>41</v>
      </c>
      <c r="K49" s="68">
        <f>SUM(F251:F256)</f>
        <v>15182.19</v>
      </c>
      <c r="L49" s="68">
        <f>SUM(D251:D256)</f>
        <v>444.21</v>
      </c>
      <c r="M49" s="68">
        <f>F256</f>
        <v>0</v>
      </c>
      <c r="O49" s="68">
        <f t="shared" si="2"/>
        <v>7</v>
      </c>
      <c r="P49" s="68">
        <f>IF(B49="", 0, IFERROR(MIN(C49+D49, VLOOKUP(B49, '💳 Debt Input'!$A:$G, 4, FALSE)), 0))</f>
        <v>120</v>
      </c>
    </row>
    <row r="50" spans="1:16" ht="18" customHeight="1" x14ac:dyDescent="0.35">
      <c r="A50" s="47"/>
      <c r="B50" s="8" t="str">
        <f>'💳 Debt Input'!$A$6</f>
        <v>Personal Loan</v>
      </c>
      <c r="C50" s="10">
        <f t="shared" si="3"/>
        <v>1302.55</v>
      </c>
      <c r="D50" s="10">
        <f>ROUND(C50*'💳 Debt Input'!$C$6/12,2)</f>
        <v>6.51</v>
      </c>
      <c r="E50" s="10">
        <f>IF(B50="", "", MIN(C50+D50, MAX(P50, $F$3 - SUMIFS(E$10:E49, O$10:O49, O50) - SUMIFS(P51:P$1995, O51:O$1995, O50))))</f>
        <v>40</v>
      </c>
      <c r="F50" s="10">
        <f t="shared" si="0"/>
        <v>1269.06</v>
      </c>
      <c r="G50" s="19" t="str">
        <f t="shared" si="1"/>
        <v>Active</v>
      </c>
      <c r="H50" s="20"/>
      <c r="J50" s="68">
        <v>42</v>
      </c>
      <c r="K50" s="68">
        <f>SUM(F257:F262)</f>
        <v>14655.59</v>
      </c>
      <c r="L50" s="68">
        <f>SUM(D257:D262)</f>
        <v>433.4</v>
      </c>
      <c r="M50" s="68">
        <f>F262</f>
        <v>0</v>
      </c>
      <c r="O50" s="68">
        <f t="shared" si="2"/>
        <v>7</v>
      </c>
      <c r="P50" s="68">
        <f>IF(B50="", 0, IFERROR(MIN(C50+D50, VLOOKUP(B50, '💳 Debt Input'!$A:$G, 4, FALSE)), 0))</f>
        <v>40</v>
      </c>
    </row>
    <row r="51" spans="1:16" ht="18" customHeight="1" x14ac:dyDescent="0.35">
      <c r="A51" s="47"/>
      <c r="B51" s="8" t="str">
        <f>'💳 Debt Input'!$A$5</f>
        <v>Medical Bill</v>
      </c>
      <c r="C51" s="10">
        <f t="shared" si="3"/>
        <v>358.83</v>
      </c>
      <c r="D51" s="10">
        <f>ROUND(C51*'💳 Debt Input'!$C$5/12,2)</f>
        <v>1.2</v>
      </c>
      <c r="E51" s="10">
        <f>IF(B51="", "", MIN(C51+D51, MAX(P51, $F$3 - SUMIFS(E$10:E50, O$10:O50, O51) - SUMIFS(P52:P$1995, O52:O$1995, O51))))</f>
        <v>25</v>
      </c>
      <c r="F51" s="10">
        <f t="shared" si="0"/>
        <v>335.03</v>
      </c>
      <c r="G51" s="19" t="str">
        <f t="shared" si="1"/>
        <v>Active</v>
      </c>
      <c r="H51" s="20"/>
      <c r="J51" s="68">
        <v>43</v>
      </c>
      <c r="K51" s="68">
        <f>SUM(F263:F268)</f>
        <v>14117.560000000001</v>
      </c>
      <c r="L51" s="68">
        <f>SUM(D263:D268)</f>
        <v>421.96999999999997</v>
      </c>
      <c r="M51" s="68">
        <f>F268</f>
        <v>0</v>
      </c>
      <c r="O51" s="68">
        <f t="shared" si="2"/>
        <v>7</v>
      </c>
      <c r="P51" s="68">
        <f>IF(B51="", 0, IFERROR(MIN(C51+D51, VLOOKUP(B51, '💳 Debt Input'!$A:$G, 4, FALSE)), 0))</f>
        <v>25</v>
      </c>
    </row>
    <row r="52" spans="1:16" ht="18" customHeight="1" x14ac:dyDescent="0.35">
      <c r="A52" s="47"/>
      <c r="B52" s="8" t="str">
        <f>'💳 Debt Input'!$A$4</f>
        <v>Store Card</v>
      </c>
      <c r="C52" s="10">
        <f t="shared" si="3"/>
        <v>52.08</v>
      </c>
      <c r="D52" s="10">
        <f>ROUND(C52*'💳 Debt Input'!$C$4/12,2)</f>
        <v>0.13</v>
      </c>
      <c r="E52" s="10">
        <f>IF(B52="", "", MIN(C52+D52, MAX(P52, $F$3 - SUMIFS(E$10:E51, O$10:O51, O52) - SUMIFS(P53:P$1995, O53:O$1995, O52))))</f>
        <v>25</v>
      </c>
      <c r="F52" s="10">
        <f t="shared" si="0"/>
        <v>27.21</v>
      </c>
      <c r="G52" s="19" t="str">
        <f t="shared" si="1"/>
        <v>Active</v>
      </c>
      <c r="H52" s="20"/>
      <c r="J52" s="68">
        <v>44</v>
      </c>
      <c r="K52" s="68">
        <f>SUM(F269:F274)</f>
        <v>13567.16</v>
      </c>
      <c r="L52" s="68">
        <f>SUM(D269:D274)</f>
        <v>409.6</v>
      </c>
      <c r="M52" s="68">
        <f>F274</f>
        <v>0</v>
      </c>
      <c r="O52" s="68">
        <f t="shared" si="2"/>
        <v>7</v>
      </c>
      <c r="P52" s="68">
        <f>IF(B52="", 0, IFERROR(MIN(C52+D52, VLOOKUP(B52, '💳 Debt Input'!$A:$G, 4, FALSE)), 0))</f>
        <v>25</v>
      </c>
    </row>
    <row r="53" spans="1:16" ht="18" customHeight="1" x14ac:dyDescent="0.35">
      <c r="A53" s="48">
        <v>8</v>
      </c>
      <c r="B53" s="6" t="str">
        <f>'💳 Debt Input'!$A$9</f>
        <v>Rewards Visa</v>
      </c>
      <c r="C53" s="12">
        <f t="shared" si="3"/>
        <v>16000</v>
      </c>
      <c r="D53" s="12">
        <f>ROUND(C53*'💳 Debt Input'!$C$9/12,2)</f>
        <v>480</v>
      </c>
      <c r="E53" s="12">
        <f>IF(B53="", "", MIN(C53+D53, MAX(P53, $F$3 - SUMIFS(E$10:E52, O$10:O52, O53) - SUMIFS(P54:P$1995, O54:O$1995, O53))))</f>
        <v>480</v>
      </c>
      <c r="F53" s="12">
        <f t="shared" si="0"/>
        <v>16000</v>
      </c>
      <c r="G53" s="22" t="str">
        <f t="shared" si="1"/>
        <v>Active</v>
      </c>
      <c r="H53" s="23"/>
      <c r="J53" s="68">
        <v>45</v>
      </c>
      <c r="K53" s="68">
        <f>SUM(F275:F280)</f>
        <v>13004.09</v>
      </c>
      <c r="L53" s="68">
        <f>SUM(D275:D280)</f>
        <v>396.93</v>
      </c>
      <c r="M53" s="68">
        <f>F280</f>
        <v>0</v>
      </c>
      <c r="O53" s="68">
        <f t="shared" si="2"/>
        <v>8</v>
      </c>
      <c r="P53" s="68">
        <f>IF(B53="", 0, IFERROR(MIN(C53+D53, VLOOKUP(B53, '💳 Debt Input'!$A:$G, 4, FALSE)), 0))</f>
        <v>480</v>
      </c>
    </row>
    <row r="54" spans="1:16" ht="18" customHeight="1" x14ac:dyDescent="0.35">
      <c r="A54" s="49"/>
      <c r="B54" s="6" t="str">
        <f>'💳 Debt Input'!$A$8</f>
        <v>Travel Card</v>
      </c>
      <c r="C54" s="12">
        <f t="shared" si="3"/>
        <v>8011.41</v>
      </c>
      <c r="D54" s="12">
        <f>ROUND(C54*'💳 Debt Input'!$C$8/12,2)</f>
        <v>120.17</v>
      </c>
      <c r="E54" s="12">
        <f>IF(B54="", "", MIN(C54+D54, MAX(P54, $F$3 - SUMIFS(E$10:E53, O$10:O53, O54) - SUMIFS(P55:P$1995, O55:O$1995, O54))))</f>
        <v>270</v>
      </c>
      <c r="F54" s="12">
        <f t="shared" si="0"/>
        <v>7861.58</v>
      </c>
      <c r="G54" s="22" t="str">
        <f t="shared" si="1"/>
        <v>Active</v>
      </c>
      <c r="H54" s="23"/>
      <c r="J54" s="68">
        <v>46</v>
      </c>
      <c r="K54" s="68">
        <f>SUM(F281:F286)</f>
        <v>12428.029999999999</v>
      </c>
      <c r="L54" s="68">
        <f>SUM(D281:D286)</f>
        <v>383.94</v>
      </c>
      <c r="M54" s="68">
        <f>F286</f>
        <v>0</v>
      </c>
      <c r="O54" s="68">
        <f t="shared" si="2"/>
        <v>8</v>
      </c>
      <c r="P54" s="68">
        <f>IF(B54="", 0, IFERROR(MIN(C54+D54, VLOOKUP(B54, '💳 Debt Input'!$A:$G, 4, FALSE)), 0))</f>
        <v>270</v>
      </c>
    </row>
    <row r="55" spans="1:16" ht="18" customHeight="1" x14ac:dyDescent="0.35">
      <c r="A55" s="49"/>
      <c r="B55" s="6" t="str">
        <f>'💳 Debt Input'!$A$7</f>
        <v>Auto Loan</v>
      </c>
      <c r="C55" s="12">
        <f t="shared" si="3"/>
        <v>3377.95</v>
      </c>
      <c r="D55" s="12">
        <f>ROUND(C55*'💳 Debt Input'!$C$7/12,2)</f>
        <v>28.15</v>
      </c>
      <c r="E55" s="12">
        <f>IF(B55="", "", MIN(C55+D55, MAX(P55, $F$3 - SUMIFS(E$10:E54, O$10:O54, O55) - SUMIFS(P56:P$1995, O56:O$1995, O55))))</f>
        <v>120</v>
      </c>
      <c r="F55" s="12">
        <f t="shared" si="0"/>
        <v>3286.1</v>
      </c>
      <c r="G55" s="22" t="str">
        <f t="shared" si="1"/>
        <v>Active</v>
      </c>
      <c r="H55" s="23"/>
      <c r="J55" s="68">
        <v>47</v>
      </c>
      <c r="K55" s="68">
        <f>SUM(F287:F292)</f>
        <v>11838.64</v>
      </c>
      <c r="L55" s="68">
        <f>SUM(D287:D292)</f>
        <v>370.61</v>
      </c>
      <c r="M55" s="68">
        <f>F292</f>
        <v>0</v>
      </c>
      <c r="O55" s="68">
        <f t="shared" si="2"/>
        <v>8</v>
      </c>
      <c r="P55" s="68">
        <f>IF(B55="", 0, IFERROR(MIN(C55+D55, VLOOKUP(B55, '💳 Debt Input'!$A:$G, 4, FALSE)), 0))</f>
        <v>120</v>
      </c>
    </row>
    <row r="56" spans="1:16" ht="18" customHeight="1" x14ac:dyDescent="0.35">
      <c r="A56" s="49"/>
      <c r="B56" s="6" t="str">
        <f>'💳 Debt Input'!$A$6</f>
        <v>Personal Loan</v>
      </c>
      <c r="C56" s="12">
        <f t="shared" si="3"/>
        <v>1269.06</v>
      </c>
      <c r="D56" s="12">
        <f>ROUND(C56*'💳 Debt Input'!$C$6/12,2)</f>
        <v>6.35</v>
      </c>
      <c r="E56" s="12">
        <f>IF(B56="", "", MIN(C56+D56, MAX(P56, $F$3 - SUMIFS(E$10:E55, O$10:O55, O56) - SUMIFS(P57:P$1995, O57:O$1995, O56))))</f>
        <v>40</v>
      </c>
      <c r="F56" s="12">
        <f t="shared" si="0"/>
        <v>1235.4100000000001</v>
      </c>
      <c r="G56" s="22" t="str">
        <f t="shared" si="1"/>
        <v>Active</v>
      </c>
      <c r="H56" s="23"/>
      <c r="J56" s="68">
        <v>48</v>
      </c>
      <c r="K56" s="68">
        <f>SUM(F293:F298)</f>
        <v>11233.8</v>
      </c>
      <c r="L56" s="68">
        <f>SUM(D293:D298)</f>
        <v>355.16</v>
      </c>
      <c r="M56" s="68">
        <f>F298</f>
        <v>0</v>
      </c>
      <c r="O56" s="68">
        <f t="shared" si="2"/>
        <v>8</v>
      </c>
      <c r="P56" s="68">
        <f>IF(B56="", 0, IFERROR(MIN(C56+D56, VLOOKUP(B56, '💳 Debt Input'!$A:$G, 4, FALSE)), 0))</f>
        <v>40</v>
      </c>
    </row>
    <row r="57" spans="1:16" ht="18" customHeight="1" x14ac:dyDescent="0.35">
      <c r="A57" s="49"/>
      <c r="B57" s="6" t="str">
        <f>'💳 Debt Input'!$A$5</f>
        <v>Medical Bill</v>
      </c>
      <c r="C57" s="12">
        <f t="shared" si="3"/>
        <v>335.03</v>
      </c>
      <c r="D57" s="12">
        <f>ROUND(C57*'💳 Debt Input'!$C$5/12,2)</f>
        <v>1.1200000000000001</v>
      </c>
      <c r="E57" s="12">
        <f>IF(B57="", "", MIN(C57+D57, MAX(P57, $F$3 - SUMIFS(E$10:E56, O$10:O56, O57) - SUMIFS(P58:P$1995, O58:O$1995, O57))))</f>
        <v>25</v>
      </c>
      <c r="F57" s="12">
        <f t="shared" si="0"/>
        <v>311.14999999999998</v>
      </c>
      <c r="G57" s="22" t="str">
        <f t="shared" si="1"/>
        <v>Active</v>
      </c>
      <c r="H57" s="23"/>
      <c r="J57" s="68">
        <v>49</v>
      </c>
      <c r="K57" s="68">
        <f>SUM(F299:F304)</f>
        <v>10610.81</v>
      </c>
      <c r="L57" s="68">
        <f>SUM(D299:D304)</f>
        <v>337.01</v>
      </c>
      <c r="M57" s="68">
        <f>F304</f>
        <v>0</v>
      </c>
      <c r="O57" s="68">
        <f t="shared" si="2"/>
        <v>8</v>
      </c>
      <c r="P57" s="68">
        <f>IF(B57="", 0, IFERROR(MIN(C57+D57, VLOOKUP(B57, '💳 Debt Input'!$A:$G, 4, FALSE)), 0))</f>
        <v>25</v>
      </c>
    </row>
    <row r="58" spans="1:16" ht="18" customHeight="1" x14ac:dyDescent="0.35">
      <c r="A58" s="49"/>
      <c r="B58" s="6" t="str">
        <f>'💳 Debt Input'!$A$4</f>
        <v>Store Card</v>
      </c>
      <c r="C58" s="12">
        <f t="shared" si="3"/>
        <v>27.21</v>
      </c>
      <c r="D58" s="12">
        <f>ROUND(C58*'💳 Debt Input'!$C$4/12,2)</f>
        <v>7.0000000000000007E-2</v>
      </c>
      <c r="E58" s="12">
        <f>IF(B58="", "", MIN(C58+D58, MAX(P58, $F$3 - SUMIFS(E$10:E57, O$10:O57, O58) - SUMIFS(P59:P$1995, O59:O$1995, O58))))</f>
        <v>25</v>
      </c>
      <c r="F58" s="12">
        <f t="shared" si="0"/>
        <v>2.2799999999999998</v>
      </c>
      <c r="G58" s="22" t="str">
        <f t="shared" si="1"/>
        <v>Active</v>
      </c>
      <c r="H58" s="23"/>
      <c r="J58" s="68">
        <v>50</v>
      </c>
      <c r="K58" s="68">
        <f>SUM(F305:F310)</f>
        <v>9969.1299999999992</v>
      </c>
      <c r="L58" s="68">
        <f>SUM(D305:D310)</f>
        <v>318.32</v>
      </c>
      <c r="M58" s="68">
        <f>F310</f>
        <v>0</v>
      </c>
      <c r="O58" s="68">
        <f t="shared" si="2"/>
        <v>8</v>
      </c>
      <c r="P58" s="68">
        <f>IF(B58="", 0, IFERROR(MIN(C58+D58, VLOOKUP(B58, '💳 Debt Input'!$A:$G, 4, FALSE)), 0))</f>
        <v>25</v>
      </c>
    </row>
    <row r="59" spans="1:16" ht="18" customHeight="1" x14ac:dyDescent="0.35">
      <c r="A59" s="50">
        <v>9</v>
      </c>
      <c r="B59" s="8" t="str">
        <f>'💳 Debt Input'!$A$9</f>
        <v>Rewards Visa</v>
      </c>
      <c r="C59" s="10">
        <f t="shared" si="3"/>
        <v>16000</v>
      </c>
      <c r="D59" s="10">
        <f>ROUND(C59*'💳 Debt Input'!$C$9/12,2)</f>
        <v>480</v>
      </c>
      <c r="E59" s="10">
        <f>IF(B59="", "", MIN(C59+D59, MAX(P59, $F$3 - SUMIFS(E$10:E58, O$10:O58, O59) - SUMIFS(P60:P$1995, O60:O$1995, O59))))</f>
        <v>502.71</v>
      </c>
      <c r="F59" s="10">
        <f t="shared" si="0"/>
        <v>15977.29</v>
      </c>
      <c r="G59" s="19" t="str">
        <f t="shared" si="1"/>
        <v>Active</v>
      </c>
      <c r="H59" s="20"/>
      <c r="J59" s="68">
        <v>51</v>
      </c>
      <c r="K59" s="68">
        <f>SUM(F311:F316)</f>
        <v>9308.2000000000007</v>
      </c>
      <c r="L59" s="68">
        <f>SUM(D311:D316)</f>
        <v>299.07</v>
      </c>
      <c r="M59" s="68">
        <f>F316</f>
        <v>0</v>
      </c>
      <c r="O59" s="68">
        <f t="shared" si="2"/>
        <v>9</v>
      </c>
      <c r="P59" s="68">
        <f>IF(B59="", 0, IFERROR(MIN(C59+D59, VLOOKUP(B59, '💳 Debt Input'!$A:$G, 4, FALSE)), 0))</f>
        <v>480</v>
      </c>
    </row>
    <row r="60" spans="1:16" ht="18" customHeight="1" x14ac:dyDescent="0.35">
      <c r="A60" s="47"/>
      <c r="B60" s="8" t="str">
        <f>'💳 Debt Input'!$A$8</f>
        <v>Travel Card</v>
      </c>
      <c r="C60" s="10">
        <f t="shared" si="3"/>
        <v>7861.58</v>
      </c>
      <c r="D60" s="10">
        <f>ROUND(C60*'💳 Debt Input'!$C$8/12,2)</f>
        <v>117.92</v>
      </c>
      <c r="E60" s="10">
        <f>IF(B60="", "", MIN(C60+D60, MAX(P60, $F$3 - SUMIFS(E$10:E59, O$10:O59, O60) - SUMIFS(P61:P$1995, O61:O$1995, O60))))</f>
        <v>270</v>
      </c>
      <c r="F60" s="10">
        <f t="shared" si="0"/>
        <v>7709.5</v>
      </c>
      <c r="G60" s="19" t="str">
        <f t="shared" si="1"/>
        <v>Active</v>
      </c>
      <c r="H60" s="20"/>
      <c r="J60" s="68">
        <v>52</v>
      </c>
      <c r="K60" s="68">
        <f>SUM(F317:F322)</f>
        <v>8627.4500000000007</v>
      </c>
      <c r="L60" s="68">
        <f>SUM(D317:D322)</f>
        <v>279.25</v>
      </c>
      <c r="M60" s="68">
        <f>F322</f>
        <v>0</v>
      </c>
      <c r="O60" s="68">
        <f t="shared" si="2"/>
        <v>9</v>
      </c>
      <c r="P60" s="68">
        <f>IF(B60="", 0, IFERROR(MIN(C60+D60, VLOOKUP(B60, '💳 Debt Input'!$A:$G, 4, FALSE)), 0))</f>
        <v>270</v>
      </c>
    </row>
    <row r="61" spans="1:16" ht="18" customHeight="1" x14ac:dyDescent="0.35">
      <c r="A61" s="47"/>
      <c r="B61" s="8" t="str">
        <f>'💳 Debt Input'!$A$7</f>
        <v>Auto Loan</v>
      </c>
      <c r="C61" s="10">
        <f t="shared" si="3"/>
        <v>3286.1</v>
      </c>
      <c r="D61" s="10">
        <f>ROUND(C61*'💳 Debt Input'!$C$7/12,2)</f>
        <v>27.38</v>
      </c>
      <c r="E61" s="10">
        <f>IF(B61="", "", MIN(C61+D61, MAX(P61, $F$3 - SUMIFS(E$10:E60, O$10:O60, O61) - SUMIFS(P62:P$1995, O62:O$1995, O61))))</f>
        <v>120</v>
      </c>
      <c r="F61" s="10">
        <f t="shared" si="0"/>
        <v>3193.48</v>
      </c>
      <c r="G61" s="19" t="str">
        <f t="shared" si="1"/>
        <v>Active</v>
      </c>
      <c r="H61" s="20"/>
      <c r="J61" s="68">
        <v>53</v>
      </c>
      <c r="K61" s="68">
        <f>SUM(F323:F328)</f>
        <v>7926.27</v>
      </c>
      <c r="L61" s="68">
        <f>SUM(D323:D328)</f>
        <v>258.82</v>
      </c>
      <c r="M61" s="68">
        <f>F328</f>
        <v>0</v>
      </c>
      <c r="O61" s="68">
        <f t="shared" si="2"/>
        <v>9</v>
      </c>
      <c r="P61" s="68">
        <f>IF(B61="", 0, IFERROR(MIN(C61+D61, VLOOKUP(B61, '💳 Debt Input'!$A:$G, 4, FALSE)), 0))</f>
        <v>120</v>
      </c>
    </row>
    <row r="62" spans="1:16" ht="18" customHeight="1" x14ac:dyDescent="0.35">
      <c r="A62" s="47"/>
      <c r="B62" s="8" t="str">
        <f>'💳 Debt Input'!$A$6</f>
        <v>Personal Loan</v>
      </c>
      <c r="C62" s="10">
        <f t="shared" si="3"/>
        <v>1235.4100000000001</v>
      </c>
      <c r="D62" s="10">
        <f>ROUND(C62*'💳 Debt Input'!$C$6/12,2)</f>
        <v>6.18</v>
      </c>
      <c r="E62" s="10">
        <f>IF(B62="", "", MIN(C62+D62, MAX(P62, $F$3 - SUMIFS(E$10:E61, O$10:O61, O62) - SUMIFS(P63:P$1995, O63:O$1995, O62))))</f>
        <v>40</v>
      </c>
      <c r="F62" s="10">
        <f t="shared" si="0"/>
        <v>1201.5899999999999</v>
      </c>
      <c r="G62" s="19" t="str">
        <f t="shared" si="1"/>
        <v>Active</v>
      </c>
      <c r="H62" s="20"/>
      <c r="J62" s="68">
        <v>54</v>
      </c>
      <c r="K62" s="68">
        <f>SUM(F329:F334)</f>
        <v>7204.06</v>
      </c>
      <c r="L62" s="68">
        <f>SUM(D329:D334)</f>
        <v>237.79</v>
      </c>
      <c r="M62" s="68">
        <f>F334</f>
        <v>0</v>
      </c>
      <c r="O62" s="68">
        <f t="shared" si="2"/>
        <v>9</v>
      </c>
      <c r="P62" s="68">
        <f>IF(B62="", 0, IFERROR(MIN(C62+D62, VLOOKUP(B62, '💳 Debt Input'!$A:$G, 4, FALSE)), 0))</f>
        <v>40</v>
      </c>
    </row>
    <row r="63" spans="1:16" ht="18" customHeight="1" x14ac:dyDescent="0.35">
      <c r="A63" s="47"/>
      <c r="B63" s="8" t="str">
        <f>'💳 Debt Input'!$A$5</f>
        <v>Medical Bill</v>
      </c>
      <c r="C63" s="10">
        <f t="shared" si="3"/>
        <v>311.14999999999998</v>
      </c>
      <c r="D63" s="10">
        <f>ROUND(C63*'💳 Debt Input'!$C$5/12,2)</f>
        <v>1.04</v>
      </c>
      <c r="E63" s="10">
        <f>IF(B63="", "", MIN(C63+D63, MAX(P63, $F$3 - SUMIFS(E$10:E62, O$10:O62, O63) - SUMIFS(P64:P$1995, O64:O$1995, O63))))</f>
        <v>25</v>
      </c>
      <c r="F63" s="10">
        <f t="shared" si="0"/>
        <v>287.19</v>
      </c>
      <c r="G63" s="19" t="str">
        <f t="shared" si="1"/>
        <v>Active</v>
      </c>
      <c r="H63" s="20"/>
      <c r="J63" s="68">
        <v>55</v>
      </c>
      <c r="K63" s="68">
        <f>SUM(F335:F340)</f>
        <v>6460.18</v>
      </c>
      <c r="L63" s="68">
        <f>SUM(D335:D340)</f>
        <v>216.12</v>
      </c>
      <c r="M63" s="68">
        <f>F340</f>
        <v>0</v>
      </c>
      <c r="O63" s="68">
        <f t="shared" si="2"/>
        <v>9</v>
      </c>
      <c r="P63" s="68">
        <f>IF(B63="", 0, IFERROR(MIN(C63+D63, VLOOKUP(B63, '💳 Debt Input'!$A:$G, 4, FALSE)), 0))</f>
        <v>25</v>
      </c>
    </row>
    <row r="64" spans="1:16" ht="18" customHeight="1" x14ac:dyDescent="0.35">
      <c r="A64" s="52"/>
      <c r="B64" s="26" t="str">
        <f>'💳 Debt Input'!$A$4</f>
        <v>Store Card</v>
      </c>
      <c r="C64" s="27">
        <f t="shared" si="3"/>
        <v>2.2799999999999998</v>
      </c>
      <c r="D64" s="27">
        <f>ROUND(C64*'💳 Debt Input'!$C$4/12,2)</f>
        <v>0.01</v>
      </c>
      <c r="E64" s="27">
        <f>IF(B64="", "", MIN(C64+D64, MAX(P64, $F$3 - SUMIFS(E$10:E63, O$10:O63, O64) - SUMIFS(P65:P$1995, O65:O$1995, O64))))</f>
        <v>2.2899999999999996</v>
      </c>
      <c r="F64" s="27">
        <f t="shared" si="0"/>
        <v>0</v>
      </c>
      <c r="G64" s="28" t="str">
        <f t="shared" si="1"/>
        <v>Paid off</v>
      </c>
      <c r="H64" s="26"/>
      <c r="J64" s="68">
        <v>56</v>
      </c>
      <c r="K64" s="68">
        <f>SUM(F341:F346)</f>
        <v>5693.99</v>
      </c>
      <c r="L64" s="68">
        <f>SUM(D341:D346)</f>
        <v>193.81</v>
      </c>
      <c r="M64" s="68">
        <f>F346</f>
        <v>0</v>
      </c>
      <c r="O64" s="68">
        <f t="shared" si="2"/>
        <v>9</v>
      </c>
      <c r="P64" s="68">
        <f>IF(B64="", 0, IFERROR(MIN(C64+D64, VLOOKUP(B64, '💳 Debt Input'!$A:$G, 4, FALSE)), 0))</f>
        <v>2.2899999999999996</v>
      </c>
    </row>
    <row r="65" spans="1:16" ht="18" customHeight="1" x14ac:dyDescent="0.35">
      <c r="A65" s="48">
        <v>10</v>
      </c>
      <c r="B65" s="6" t="str">
        <f>'💳 Debt Input'!$A$9</f>
        <v>Rewards Visa</v>
      </c>
      <c r="C65" s="12">
        <f t="shared" si="3"/>
        <v>15977.29</v>
      </c>
      <c r="D65" s="12">
        <f>ROUND(C65*'💳 Debt Input'!$C$9/12,2)</f>
        <v>479.32</v>
      </c>
      <c r="E65" s="12">
        <f>IF(B65="", "", MIN(C65+D65, MAX(P65, $F$3 - SUMIFS(E$10:E64, O$10:O64, O65) - SUMIFS(P66:P$1995, O66:O$1995, O65))))</f>
        <v>505</v>
      </c>
      <c r="F65" s="12">
        <f t="shared" si="0"/>
        <v>15951.61</v>
      </c>
      <c r="G65" s="22" t="str">
        <f t="shared" si="1"/>
        <v>Active</v>
      </c>
      <c r="H65" s="23"/>
      <c r="J65" s="68">
        <v>57</v>
      </c>
      <c r="K65" s="68">
        <f>SUM(F347:F352)</f>
        <v>4904.8100000000004</v>
      </c>
      <c r="L65" s="68">
        <f>SUM(D347:D352)</f>
        <v>170.82</v>
      </c>
      <c r="M65" s="68">
        <f>F352</f>
        <v>0</v>
      </c>
      <c r="O65" s="68">
        <f t="shared" si="2"/>
        <v>10</v>
      </c>
      <c r="P65" s="68">
        <f>IF(B65="", 0, IFERROR(MIN(C65+D65, VLOOKUP(B65, '💳 Debt Input'!$A:$G, 4, FALSE)), 0))</f>
        <v>480</v>
      </c>
    </row>
    <row r="66" spans="1:16" ht="18" customHeight="1" x14ac:dyDescent="0.35">
      <c r="A66" s="49"/>
      <c r="B66" s="6" t="str">
        <f>'💳 Debt Input'!$A$8</f>
        <v>Travel Card</v>
      </c>
      <c r="C66" s="12">
        <f t="shared" si="3"/>
        <v>7709.5</v>
      </c>
      <c r="D66" s="12">
        <f>ROUND(C66*'💳 Debt Input'!$C$8/12,2)</f>
        <v>115.64</v>
      </c>
      <c r="E66" s="12">
        <f>IF(B66="", "", MIN(C66+D66, MAX(P66, $F$3 - SUMIFS(E$10:E65, O$10:O65, O66) - SUMIFS(P67:P$1995, O67:O$1995, O66))))</f>
        <v>270</v>
      </c>
      <c r="F66" s="12">
        <f t="shared" si="0"/>
        <v>7555.14</v>
      </c>
      <c r="G66" s="22" t="str">
        <f t="shared" si="1"/>
        <v>Active</v>
      </c>
      <c r="H66" s="23"/>
      <c r="J66" s="68">
        <v>58</v>
      </c>
      <c r="K66" s="68">
        <f>SUM(F353:F358)</f>
        <v>4091.95</v>
      </c>
      <c r="L66" s="68">
        <f>SUM(D353:D358)</f>
        <v>147.13999999999999</v>
      </c>
      <c r="M66" s="68">
        <f>F358</f>
        <v>0</v>
      </c>
      <c r="O66" s="68">
        <f t="shared" si="2"/>
        <v>10</v>
      </c>
      <c r="P66" s="68">
        <f>IF(B66="", 0, IFERROR(MIN(C66+D66, VLOOKUP(B66, '💳 Debt Input'!$A:$G, 4, FALSE)), 0))</f>
        <v>270</v>
      </c>
    </row>
    <row r="67" spans="1:16" ht="18" customHeight="1" x14ac:dyDescent="0.35">
      <c r="A67" s="49"/>
      <c r="B67" s="6" t="str">
        <f>'💳 Debt Input'!$A$7</f>
        <v>Auto Loan</v>
      </c>
      <c r="C67" s="12">
        <f t="shared" si="3"/>
        <v>3193.48</v>
      </c>
      <c r="D67" s="12">
        <f>ROUND(C67*'💳 Debt Input'!$C$7/12,2)</f>
        <v>26.61</v>
      </c>
      <c r="E67" s="12">
        <f>IF(B67="", "", MIN(C67+D67, MAX(P67, $F$3 - SUMIFS(E$10:E66, O$10:O66, O67) - SUMIFS(P68:P$1995, O68:O$1995, O67))))</f>
        <v>120</v>
      </c>
      <c r="F67" s="12">
        <f t="shared" si="0"/>
        <v>3100.09</v>
      </c>
      <c r="G67" s="22" t="str">
        <f t="shared" si="1"/>
        <v>Active</v>
      </c>
      <c r="H67" s="23"/>
      <c r="J67" s="68">
        <v>59</v>
      </c>
      <c r="K67" s="68">
        <f>SUM(F359:F364)</f>
        <v>3254.71</v>
      </c>
      <c r="L67" s="68">
        <f>SUM(D359:D364)</f>
        <v>122.76</v>
      </c>
      <c r="M67" s="68">
        <f>F364</f>
        <v>0</v>
      </c>
      <c r="O67" s="68">
        <f t="shared" si="2"/>
        <v>10</v>
      </c>
      <c r="P67" s="68">
        <f>IF(B67="", 0, IFERROR(MIN(C67+D67, VLOOKUP(B67, '💳 Debt Input'!$A:$G, 4, FALSE)), 0))</f>
        <v>120</v>
      </c>
    </row>
    <row r="68" spans="1:16" ht="18" customHeight="1" x14ac:dyDescent="0.35">
      <c r="A68" s="49"/>
      <c r="B68" s="6" t="str">
        <f>'💳 Debt Input'!$A$6</f>
        <v>Personal Loan</v>
      </c>
      <c r="C68" s="12">
        <f t="shared" si="3"/>
        <v>1201.5899999999999</v>
      </c>
      <c r="D68" s="12">
        <f>ROUND(C68*'💳 Debt Input'!$C$6/12,2)</f>
        <v>6.01</v>
      </c>
      <c r="E68" s="12">
        <f>IF(B68="", "", MIN(C68+D68, MAX(P68, $F$3 - SUMIFS(E$10:E67, O$10:O67, O68) - SUMIFS(P69:P$1995, O69:O$1995, O68))))</f>
        <v>40</v>
      </c>
      <c r="F68" s="12">
        <f t="shared" si="0"/>
        <v>1167.5999999999999</v>
      </c>
      <c r="G68" s="22" t="str">
        <f t="shared" si="1"/>
        <v>Active</v>
      </c>
      <c r="H68" s="23"/>
      <c r="J68" s="68">
        <v>60</v>
      </c>
      <c r="K68" s="68">
        <f>SUM(F365:F370)</f>
        <v>2392.35</v>
      </c>
      <c r="L68" s="68">
        <f>SUM(D365:D370)</f>
        <v>97.64</v>
      </c>
      <c r="M68" s="68">
        <f>F370</f>
        <v>0</v>
      </c>
      <c r="O68" s="68">
        <f t="shared" si="2"/>
        <v>10</v>
      </c>
      <c r="P68" s="68">
        <f>IF(B68="", 0, IFERROR(MIN(C68+D68, VLOOKUP(B68, '💳 Debt Input'!$A:$G, 4, FALSE)), 0))</f>
        <v>40</v>
      </c>
    </row>
    <row r="69" spans="1:16" ht="18" customHeight="1" x14ac:dyDescent="0.35">
      <c r="A69" s="49"/>
      <c r="B69" s="6" t="str">
        <f>'💳 Debt Input'!$A$5</f>
        <v>Medical Bill</v>
      </c>
      <c r="C69" s="12">
        <f t="shared" si="3"/>
        <v>287.19</v>
      </c>
      <c r="D69" s="12">
        <f>ROUND(C69*'💳 Debt Input'!$C$5/12,2)</f>
        <v>0.96</v>
      </c>
      <c r="E69" s="12">
        <f>IF(B69="", "", MIN(C69+D69, MAX(P69, $F$3 - SUMIFS(E$10:E68, O$10:O68, O69) - SUMIFS(P70:P$1995, O70:O$1995, O69))))</f>
        <v>25</v>
      </c>
      <c r="F69" s="12">
        <f t="shared" si="0"/>
        <v>263.14999999999998</v>
      </c>
      <c r="G69" s="22" t="str">
        <f t="shared" si="1"/>
        <v>Active</v>
      </c>
      <c r="H69" s="23"/>
      <c r="J69" s="68">
        <v>61</v>
      </c>
      <c r="K69" s="68">
        <f>SUM(F371:F376)</f>
        <v>1504.12</v>
      </c>
      <c r="L69" s="68">
        <f>SUM(D371:D376)</f>
        <v>71.77</v>
      </c>
      <c r="M69" s="68">
        <f>F376</f>
        <v>0</v>
      </c>
      <c r="O69" s="68">
        <f t="shared" si="2"/>
        <v>10</v>
      </c>
      <c r="P69" s="68">
        <f>IF(B69="", 0, IFERROR(MIN(C69+D69, VLOOKUP(B69, '💳 Debt Input'!$A:$G, 4, FALSE)), 0))</f>
        <v>25</v>
      </c>
    </row>
    <row r="70" spans="1:16" ht="18" customHeight="1" x14ac:dyDescent="0.35">
      <c r="A70" s="52"/>
      <c r="B70" s="26" t="str">
        <f>'💳 Debt Input'!$A$4</f>
        <v>Store Card</v>
      </c>
      <c r="C70" s="27">
        <f t="shared" si="3"/>
        <v>0</v>
      </c>
      <c r="D70" s="27">
        <f>ROUND(C70*'💳 Debt Input'!$C$4/12,2)</f>
        <v>0</v>
      </c>
      <c r="E70" s="27">
        <f>IF(B70="", "", MIN(C70+D70, MAX(P70, $F$3 - SUMIFS(E$10:E69, O$10:O69, O70) - SUMIFS(P71:P$1995, O71:O$1995, O70))))</f>
        <v>0</v>
      </c>
      <c r="F70" s="27">
        <f t="shared" si="0"/>
        <v>0</v>
      </c>
      <c r="G70" s="28" t="str">
        <f t="shared" si="1"/>
        <v>Paid off</v>
      </c>
      <c r="H70" s="29"/>
      <c r="J70" s="68">
        <v>62</v>
      </c>
      <c r="K70" s="68">
        <f>SUM(F377:F382)</f>
        <v>589.24</v>
      </c>
      <c r="L70" s="68">
        <f>SUM(D377:D382)</f>
        <v>45.12</v>
      </c>
      <c r="M70" s="68">
        <f>F382</f>
        <v>0</v>
      </c>
      <c r="O70" s="68">
        <f t="shared" si="2"/>
        <v>10</v>
      </c>
      <c r="P70" s="68">
        <f>IF(B70="", 0, IFERROR(MIN(C70+D70, VLOOKUP(B70, '💳 Debt Input'!$A:$G, 4, FALSE)), 0))</f>
        <v>0</v>
      </c>
    </row>
    <row r="71" spans="1:16" ht="18" customHeight="1" x14ac:dyDescent="0.35">
      <c r="A71" s="50">
        <v>11</v>
      </c>
      <c r="B71" s="8" t="str">
        <f>'💳 Debt Input'!$A$9</f>
        <v>Rewards Visa</v>
      </c>
      <c r="C71" s="10">
        <f t="shared" si="3"/>
        <v>15951.61</v>
      </c>
      <c r="D71" s="10">
        <f>ROUND(C71*'💳 Debt Input'!$C$9/12,2)</f>
        <v>478.55</v>
      </c>
      <c r="E71" s="10">
        <f>IF(B71="", "", MIN(C71+D71, MAX(P71, $F$3 - SUMIFS(E$10:E70, O$10:O70, O71) - SUMIFS(P72:P$1995, O72:O$1995, O71))))</f>
        <v>505</v>
      </c>
      <c r="F71" s="10">
        <f t="shared" si="0"/>
        <v>15925.16</v>
      </c>
      <c r="G71" s="19" t="str">
        <f t="shared" si="1"/>
        <v>Active</v>
      </c>
      <c r="H71" s="20"/>
      <c r="J71" s="68">
        <v>63</v>
      </c>
      <c r="K71" s="68">
        <f>SUM(F383:F388)</f>
        <v>0</v>
      </c>
      <c r="L71" s="68">
        <f>SUM(D383:D388)</f>
        <v>17.68</v>
      </c>
      <c r="M71" s="68">
        <f>F388</f>
        <v>0</v>
      </c>
      <c r="O71" s="68">
        <f t="shared" si="2"/>
        <v>11</v>
      </c>
      <c r="P71" s="68">
        <f>IF(B71="", 0, IFERROR(MIN(C71+D71, VLOOKUP(B71, '💳 Debt Input'!$A:$G, 4, FALSE)), 0))</f>
        <v>480</v>
      </c>
    </row>
    <row r="72" spans="1:16" ht="18" customHeight="1" x14ac:dyDescent="0.35">
      <c r="A72" s="47"/>
      <c r="B72" s="8" t="str">
        <f>'💳 Debt Input'!$A$8</f>
        <v>Travel Card</v>
      </c>
      <c r="C72" s="10">
        <f t="shared" si="3"/>
        <v>7555.14</v>
      </c>
      <c r="D72" s="10">
        <f>ROUND(C72*'💳 Debt Input'!$C$8/12,2)</f>
        <v>113.33</v>
      </c>
      <c r="E72" s="10">
        <f>IF(B72="", "", MIN(C72+D72, MAX(P72, $F$3 - SUMIFS(E$10:E71, O$10:O71, O72) - SUMIFS(P73:P$1995, O73:O$1995, O72))))</f>
        <v>270</v>
      </c>
      <c r="F72" s="10">
        <f t="shared" si="0"/>
        <v>7398.47</v>
      </c>
      <c r="G72" s="19" t="str">
        <f t="shared" si="1"/>
        <v>Active</v>
      </c>
      <c r="H72" s="20"/>
      <c r="J72" s="68">
        <v>64</v>
      </c>
      <c r="K72" s="68">
        <f>SUM(F389:F394)</f>
        <v>0</v>
      </c>
      <c r="L72" s="68">
        <f>SUM(D389:D394)</f>
        <v>0</v>
      </c>
      <c r="M72" s="68">
        <f>F394</f>
        <v>0</v>
      </c>
      <c r="O72" s="68">
        <f t="shared" si="2"/>
        <v>11</v>
      </c>
      <c r="P72" s="68">
        <f>IF(B72="", 0, IFERROR(MIN(C72+D72, VLOOKUP(B72, '💳 Debt Input'!$A:$G, 4, FALSE)), 0))</f>
        <v>270</v>
      </c>
    </row>
    <row r="73" spans="1:16" ht="18" customHeight="1" x14ac:dyDescent="0.35">
      <c r="A73" s="47"/>
      <c r="B73" s="8" t="str">
        <f>'💳 Debt Input'!$A$7</f>
        <v>Auto Loan</v>
      </c>
      <c r="C73" s="10">
        <f t="shared" si="3"/>
        <v>3100.09</v>
      </c>
      <c r="D73" s="10">
        <f>ROUND(C73*'💳 Debt Input'!$C$7/12,2)</f>
        <v>25.83</v>
      </c>
      <c r="E73" s="10">
        <f>IF(B73="", "", MIN(C73+D73, MAX(P73, $F$3 - SUMIFS(E$10:E72, O$10:O72, O73) - SUMIFS(P74:P$1995, O74:O$1995, O73))))</f>
        <v>120</v>
      </c>
      <c r="F73" s="10">
        <f t="shared" si="0"/>
        <v>3005.92</v>
      </c>
      <c r="G73" s="19" t="str">
        <f t="shared" si="1"/>
        <v>Active</v>
      </c>
      <c r="H73" s="20"/>
      <c r="O73" s="68">
        <f t="shared" si="2"/>
        <v>11</v>
      </c>
      <c r="P73" s="68">
        <f>IF(B73="", 0, IFERROR(MIN(C73+D73, VLOOKUP(B73, '💳 Debt Input'!$A:$G, 4, FALSE)), 0))</f>
        <v>120</v>
      </c>
    </row>
    <row r="74" spans="1:16" ht="18" customHeight="1" x14ac:dyDescent="0.35">
      <c r="A74" s="47"/>
      <c r="B74" s="8" t="str">
        <f>'💳 Debt Input'!$A$6</f>
        <v>Personal Loan</v>
      </c>
      <c r="C74" s="10">
        <f t="shared" si="3"/>
        <v>1167.5999999999999</v>
      </c>
      <c r="D74" s="10">
        <f>ROUND(C74*'💳 Debt Input'!$C$6/12,2)</f>
        <v>5.84</v>
      </c>
      <c r="E74" s="10">
        <f>IF(B74="", "", MIN(C74+D74, MAX(P74, $F$3 - SUMIFS(E$10:E73, O$10:O73, O74) - SUMIFS(P75:P$1995, O75:O$1995, O74))))</f>
        <v>40</v>
      </c>
      <c r="F74" s="10">
        <f t="shared" si="0"/>
        <v>1133.44</v>
      </c>
      <c r="G74" s="19" t="str">
        <f t="shared" si="1"/>
        <v>Active</v>
      </c>
      <c r="H74" s="20"/>
      <c r="O74" s="68">
        <f t="shared" si="2"/>
        <v>11</v>
      </c>
      <c r="P74" s="68">
        <f>IF(B74="", 0, IFERROR(MIN(C74+D74, VLOOKUP(B74, '💳 Debt Input'!$A:$G, 4, FALSE)), 0))</f>
        <v>40</v>
      </c>
    </row>
    <row r="75" spans="1:16" ht="18" customHeight="1" x14ac:dyDescent="0.35">
      <c r="A75" s="47"/>
      <c r="B75" s="8" t="str">
        <f>'💳 Debt Input'!$A$5</f>
        <v>Medical Bill</v>
      </c>
      <c r="C75" s="10">
        <f t="shared" si="3"/>
        <v>263.14999999999998</v>
      </c>
      <c r="D75" s="10">
        <f>ROUND(C75*'💳 Debt Input'!$C$5/12,2)</f>
        <v>0.88</v>
      </c>
      <c r="E75" s="10">
        <f>IF(B75="", "", MIN(C75+D75, MAX(P75, $F$3 - SUMIFS(E$10:E74, O$10:O74, O75) - SUMIFS(P76:P$1995, O76:O$1995, O75))))</f>
        <v>25</v>
      </c>
      <c r="F75" s="10">
        <f t="shared" ref="F75:F138" si="4">ROUND(MAX(0,C75+D75-E75),2)</f>
        <v>239.03</v>
      </c>
      <c r="G75" s="19" t="str">
        <f t="shared" ref="G75:G138" si="5">IF(F75=0,"Paid off","Active")</f>
        <v>Active</v>
      </c>
      <c r="H75" s="20"/>
      <c r="O75" s="68">
        <f t="shared" ref="O75:O138" si="6">IF(A75&lt;&gt;"", A75, O74)</f>
        <v>11</v>
      </c>
      <c r="P75" s="68">
        <f>IF(B75="", 0, IFERROR(MIN(C75+D75, VLOOKUP(B75, '💳 Debt Input'!$A:$G, 4, FALSE)), 0))</f>
        <v>25</v>
      </c>
    </row>
    <row r="76" spans="1:16" ht="18" customHeight="1" x14ac:dyDescent="0.35">
      <c r="A76" s="52"/>
      <c r="B76" s="26" t="str">
        <f>'💳 Debt Input'!$A$4</f>
        <v>Store Card</v>
      </c>
      <c r="C76" s="27">
        <f t="shared" si="3"/>
        <v>0</v>
      </c>
      <c r="D76" s="27">
        <f>ROUND(C76*'💳 Debt Input'!$C$4/12,2)</f>
        <v>0</v>
      </c>
      <c r="E76" s="27">
        <f>IF(B76="", "", MIN(C76+D76, MAX(P76, $F$3 - SUMIFS(E$10:E75, O$10:O75, O76) - SUMIFS(P77:P$1995, O77:O$1995, O76))))</f>
        <v>0</v>
      </c>
      <c r="F76" s="27">
        <f t="shared" si="4"/>
        <v>0</v>
      </c>
      <c r="G76" s="28" t="str">
        <f t="shared" si="5"/>
        <v>Paid off</v>
      </c>
      <c r="H76" s="29"/>
      <c r="O76" s="68">
        <f t="shared" si="6"/>
        <v>11</v>
      </c>
      <c r="P76" s="68">
        <f>IF(B76="", 0, IFERROR(MIN(C76+D76, VLOOKUP(B76, '💳 Debt Input'!$A:$G, 4, FALSE)), 0))</f>
        <v>0</v>
      </c>
    </row>
    <row r="77" spans="1:16" ht="18" customHeight="1" x14ac:dyDescent="0.35">
      <c r="A77" s="48">
        <v>12</v>
      </c>
      <c r="B77" s="6" t="str">
        <f>'💳 Debt Input'!$A$9</f>
        <v>Rewards Visa</v>
      </c>
      <c r="C77" s="12">
        <f t="shared" si="3"/>
        <v>15925.16</v>
      </c>
      <c r="D77" s="12">
        <f>ROUND(C77*'💳 Debt Input'!$C$9/12,2)</f>
        <v>477.75</v>
      </c>
      <c r="E77" s="12">
        <f>IF(B77="", "", MIN(C77+D77, MAX(P77, $F$3 - SUMIFS(E$10:E76, O$10:O76, O77) - SUMIFS(P78:P$1995, O78:O$1995, O77))))</f>
        <v>505</v>
      </c>
      <c r="F77" s="12">
        <f t="shared" si="4"/>
        <v>15897.91</v>
      </c>
      <c r="G77" s="22" t="str">
        <f t="shared" si="5"/>
        <v>Active</v>
      </c>
      <c r="H77" s="23"/>
      <c r="O77" s="68">
        <f t="shared" si="6"/>
        <v>12</v>
      </c>
      <c r="P77" s="68">
        <f>IF(B77="", 0, IFERROR(MIN(C77+D77, VLOOKUP(B77, '💳 Debt Input'!$A:$G, 4, FALSE)), 0))</f>
        <v>480</v>
      </c>
    </row>
    <row r="78" spans="1:16" ht="18" customHeight="1" x14ac:dyDescent="0.35">
      <c r="A78" s="49"/>
      <c r="B78" s="6" t="str">
        <f>'💳 Debt Input'!$A$8</f>
        <v>Travel Card</v>
      </c>
      <c r="C78" s="12">
        <f t="shared" si="3"/>
        <v>7398.47</v>
      </c>
      <c r="D78" s="12">
        <f>ROUND(C78*'💳 Debt Input'!$C$8/12,2)</f>
        <v>110.98</v>
      </c>
      <c r="E78" s="12">
        <f>IF(B78="", "", MIN(C78+D78, MAX(P78, $F$3 - SUMIFS(E$10:E77, O$10:O77, O78) - SUMIFS(P79:P$1995, O79:O$1995, O78))))</f>
        <v>270</v>
      </c>
      <c r="F78" s="12">
        <f t="shared" si="4"/>
        <v>7239.45</v>
      </c>
      <c r="G78" s="22" t="str">
        <f t="shared" si="5"/>
        <v>Active</v>
      </c>
      <c r="H78" s="23"/>
      <c r="O78" s="68">
        <f t="shared" si="6"/>
        <v>12</v>
      </c>
      <c r="P78" s="68">
        <f>IF(B78="", 0, IFERROR(MIN(C78+D78, VLOOKUP(B78, '💳 Debt Input'!$A:$G, 4, FALSE)), 0))</f>
        <v>270</v>
      </c>
    </row>
    <row r="79" spans="1:16" ht="18" customHeight="1" x14ac:dyDescent="0.35">
      <c r="A79" s="49"/>
      <c r="B79" s="6" t="str">
        <f>'💳 Debt Input'!$A$7</f>
        <v>Auto Loan</v>
      </c>
      <c r="C79" s="12">
        <f t="shared" si="3"/>
        <v>3005.92</v>
      </c>
      <c r="D79" s="12">
        <f>ROUND(C79*'💳 Debt Input'!$C$7/12,2)</f>
        <v>25.05</v>
      </c>
      <c r="E79" s="12">
        <f>IF(B79="", "", MIN(C79+D79, MAX(P79, $F$3 - SUMIFS(E$10:E78, O$10:O78, O79) - SUMIFS(P80:P$1995, O80:O$1995, O79))))</f>
        <v>120</v>
      </c>
      <c r="F79" s="12">
        <f t="shared" si="4"/>
        <v>2910.97</v>
      </c>
      <c r="G79" s="22" t="str">
        <f t="shared" si="5"/>
        <v>Active</v>
      </c>
      <c r="H79" s="23"/>
      <c r="O79" s="68">
        <f t="shared" si="6"/>
        <v>12</v>
      </c>
      <c r="P79" s="68">
        <f>IF(B79="", 0, IFERROR(MIN(C79+D79, VLOOKUP(B79, '💳 Debt Input'!$A:$G, 4, FALSE)), 0))</f>
        <v>120</v>
      </c>
    </row>
    <row r="80" spans="1:16" ht="18" customHeight="1" x14ac:dyDescent="0.35">
      <c r="A80" s="49"/>
      <c r="B80" s="6" t="str">
        <f>'💳 Debt Input'!$A$6</f>
        <v>Personal Loan</v>
      </c>
      <c r="C80" s="12">
        <f t="shared" si="3"/>
        <v>1133.44</v>
      </c>
      <c r="D80" s="12">
        <f>ROUND(C80*'💳 Debt Input'!$C$6/12,2)</f>
        <v>5.67</v>
      </c>
      <c r="E80" s="12">
        <f>IF(B80="", "", MIN(C80+D80, MAX(P80, $F$3 - SUMIFS(E$10:E79, O$10:O79, O80) - SUMIFS(P81:P$1995, O81:O$1995, O80))))</f>
        <v>40</v>
      </c>
      <c r="F80" s="12">
        <f t="shared" si="4"/>
        <v>1099.1099999999999</v>
      </c>
      <c r="G80" s="22" t="str">
        <f t="shared" si="5"/>
        <v>Active</v>
      </c>
      <c r="H80" s="23"/>
      <c r="O80" s="68">
        <f t="shared" si="6"/>
        <v>12</v>
      </c>
      <c r="P80" s="68">
        <f>IF(B80="", 0, IFERROR(MIN(C80+D80, VLOOKUP(B80, '💳 Debt Input'!$A:$G, 4, FALSE)), 0))</f>
        <v>40</v>
      </c>
    </row>
    <row r="81" spans="1:16" ht="18" customHeight="1" x14ac:dyDescent="0.35">
      <c r="A81" s="49"/>
      <c r="B81" s="6" t="str">
        <f>'💳 Debt Input'!$A$5</f>
        <v>Medical Bill</v>
      </c>
      <c r="C81" s="12">
        <f t="shared" ref="C81:C144" si="7">F75</f>
        <v>239.03</v>
      </c>
      <c r="D81" s="12">
        <f>ROUND(C81*'💳 Debt Input'!$C$5/12,2)</f>
        <v>0.8</v>
      </c>
      <c r="E81" s="12">
        <f>IF(B81="", "", MIN(C81+D81, MAX(P81, $F$3 - SUMIFS(E$10:E80, O$10:O80, O81) - SUMIFS(P82:P$1995, O82:O$1995, O81))))</f>
        <v>25</v>
      </c>
      <c r="F81" s="12">
        <f t="shared" si="4"/>
        <v>214.83</v>
      </c>
      <c r="G81" s="22" t="str">
        <f t="shared" si="5"/>
        <v>Active</v>
      </c>
      <c r="H81" s="23"/>
      <c r="O81" s="68">
        <f t="shared" si="6"/>
        <v>12</v>
      </c>
      <c r="P81" s="68">
        <f>IF(B81="", 0, IFERROR(MIN(C81+D81, VLOOKUP(B81, '💳 Debt Input'!$A:$G, 4, FALSE)), 0))</f>
        <v>25</v>
      </c>
    </row>
    <row r="82" spans="1:16" ht="18" customHeight="1" x14ac:dyDescent="0.35">
      <c r="A82" s="52"/>
      <c r="B82" s="26" t="str">
        <f>'💳 Debt Input'!$A$4</f>
        <v>Store Card</v>
      </c>
      <c r="C82" s="27">
        <f t="shared" si="7"/>
        <v>0</v>
      </c>
      <c r="D82" s="27">
        <f>ROUND(C82*'💳 Debt Input'!$C$4/12,2)</f>
        <v>0</v>
      </c>
      <c r="E82" s="27">
        <f>IF(B82="", "", MIN(C82+D82, MAX(P82, $F$3 - SUMIFS(E$10:E81, O$10:O81, O82) - SUMIFS(P83:P$1995, O83:O$1995, O82))))</f>
        <v>0</v>
      </c>
      <c r="F82" s="27">
        <f t="shared" si="4"/>
        <v>0</v>
      </c>
      <c r="G82" s="28" t="str">
        <f t="shared" si="5"/>
        <v>Paid off</v>
      </c>
      <c r="H82" s="29"/>
      <c r="O82" s="68">
        <f t="shared" si="6"/>
        <v>12</v>
      </c>
      <c r="P82" s="68">
        <f>IF(B82="", 0, IFERROR(MIN(C82+D82, VLOOKUP(B82, '💳 Debt Input'!$A:$G, 4, FALSE)), 0))</f>
        <v>0</v>
      </c>
    </row>
    <row r="83" spans="1:16" ht="18" customHeight="1" x14ac:dyDescent="0.35">
      <c r="A83" s="50">
        <v>13</v>
      </c>
      <c r="B83" s="8" t="str">
        <f>'💳 Debt Input'!$A$9</f>
        <v>Rewards Visa</v>
      </c>
      <c r="C83" s="10">
        <f t="shared" si="7"/>
        <v>15897.91</v>
      </c>
      <c r="D83" s="10">
        <f>ROUND(C83*'💳 Debt Input'!$C$9/12,2)</f>
        <v>476.94</v>
      </c>
      <c r="E83" s="10">
        <f>IF(B83="", "", MIN(C83+D83, MAX(P83, $F$3 - SUMIFS(E$10:E82, O$10:O82, O83) - SUMIFS(P84:P$1995, O84:O$1995, O83))))</f>
        <v>505</v>
      </c>
      <c r="F83" s="10">
        <f t="shared" si="4"/>
        <v>15869.85</v>
      </c>
      <c r="G83" s="19" t="str">
        <f t="shared" si="5"/>
        <v>Active</v>
      </c>
      <c r="H83" s="20"/>
      <c r="O83" s="68">
        <f t="shared" si="6"/>
        <v>13</v>
      </c>
      <c r="P83" s="68">
        <f>IF(B83="", 0, IFERROR(MIN(C83+D83, VLOOKUP(B83, '💳 Debt Input'!$A:$G, 4, FALSE)), 0))</f>
        <v>480</v>
      </c>
    </row>
    <row r="84" spans="1:16" ht="18" customHeight="1" x14ac:dyDescent="0.35">
      <c r="A84" s="47"/>
      <c r="B84" s="8" t="str">
        <f>'💳 Debt Input'!$A$8</f>
        <v>Travel Card</v>
      </c>
      <c r="C84" s="10">
        <f t="shared" si="7"/>
        <v>7239.45</v>
      </c>
      <c r="D84" s="10">
        <f>ROUND(C84*'💳 Debt Input'!$C$8/12,2)</f>
        <v>108.59</v>
      </c>
      <c r="E84" s="10">
        <f>IF(B84="", "", MIN(C84+D84, MAX(P84, $F$3 - SUMIFS(E$10:E83, O$10:O83, O84) - SUMIFS(P85:P$1995, O85:O$1995, O84))))</f>
        <v>270</v>
      </c>
      <c r="F84" s="10">
        <f t="shared" si="4"/>
        <v>7078.04</v>
      </c>
      <c r="G84" s="19" t="str">
        <f t="shared" si="5"/>
        <v>Active</v>
      </c>
      <c r="H84" s="20"/>
      <c r="O84" s="68">
        <f t="shared" si="6"/>
        <v>13</v>
      </c>
      <c r="P84" s="68">
        <f>IF(B84="", 0, IFERROR(MIN(C84+D84, VLOOKUP(B84, '💳 Debt Input'!$A:$G, 4, FALSE)), 0))</f>
        <v>270</v>
      </c>
    </row>
    <row r="85" spans="1:16" ht="18" customHeight="1" x14ac:dyDescent="0.35">
      <c r="A85" s="47"/>
      <c r="B85" s="8" t="str">
        <f>'💳 Debt Input'!$A$7</f>
        <v>Auto Loan</v>
      </c>
      <c r="C85" s="10">
        <f t="shared" si="7"/>
        <v>2910.97</v>
      </c>
      <c r="D85" s="10">
        <f>ROUND(C85*'💳 Debt Input'!$C$7/12,2)</f>
        <v>24.26</v>
      </c>
      <c r="E85" s="10">
        <f>IF(B85="", "", MIN(C85+D85, MAX(P85, $F$3 - SUMIFS(E$10:E84, O$10:O84, O85) - SUMIFS(P86:P$1995, O86:O$1995, O85))))</f>
        <v>120</v>
      </c>
      <c r="F85" s="10">
        <f t="shared" si="4"/>
        <v>2815.23</v>
      </c>
      <c r="G85" s="19" t="str">
        <f t="shared" si="5"/>
        <v>Active</v>
      </c>
      <c r="H85" s="20"/>
      <c r="O85" s="68">
        <f t="shared" si="6"/>
        <v>13</v>
      </c>
      <c r="P85" s="68">
        <f>IF(B85="", 0, IFERROR(MIN(C85+D85, VLOOKUP(B85, '💳 Debt Input'!$A:$G, 4, FALSE)), 0))</f>
        <v>120</v>
      </c>
    </row>
    <row r="86" spans="1:16" ht="18" customHeight="1" x14ac:dyDescent="0.35">
      <c r="A86" s="47"/>
      <c r="B86" s="8" t="str">
        <f>'💳 Debt Input'!$A$6</f>
        <v>Personal Loan</v>
      </c>
      <c r="C86" s="10">
        <f t="shared" si="7"/>
        <v>1099.1099999999999</v>
      </c>
      <c r="D86" s="10">
        <f>ROUND(C86*'💳 Debt Input'!$C$6/12,2)</f>
        <v>5.5</v>
      </c>
      <c r="E86" s="10">
        <f>IF(B86="", "", MIN(C86+D86, MAX(P86, $F$3 - SUMIFS(E$10:E85, O$10:O85, O86) - SUMIFS(P87:P$1995, O87:O$1995, O86))))</f>
        <v>40</v>
      </c>
      <c r="F86" s="10">
        <f t="shared" si="4"/>
        <v>1064.6099999999999</v>
      </c>
      <c r="G86" s="19" t="str">
        <f t="shared" si="5"/>
        <v>Active</v>
      </c>
      <c r="H86" s="20"/>
      <c r="O86" s="68">
        <f t="shared" si="6"/>
        <v>13</v>
      </c>
      <c r="P86" s="68">
        <f>IF(B86="", 0, IFERROR(MIN(C86+D86, VLOOKUP(B86, '💳 Debt Input'!$A:$G, 4, FALSE)), 0))</f>
        <v>40</v>
      </c>
    </row>
    <row r="87" spans="1:16" ht="18" customHeight="1" x14ac:dyDescent="0.35">
      <c r="A87" s="47"/>
      <c r="B87" s="8" t="str">
        <f>'💳 Debt Input'!$A$5</f>
        <v>Medical Bill</v>
      </c>
      <c r="C87" s="10">
        <f t="shared" si="7"/>
        <v>214.83</v>
      </c>
      <c r="D87" s="10">
        <f>ROUND(C87*'💳 Debt Input'!$C$5/12,2)</f>
        <v>0.72</v>
      </c>
      <c r="E87" s="10">
        <f>IF(B87="", "", MIN(C87+D87, MAX(P87, $F$3 - SUMIFS(E$10:E86, O$10:O86, O87) - SUMIFS(P88:P$1995, O88:O$1995, O87))))</f>
        <v>25</v>
      </c>
      <c r="F87" s="10">
        <f t="shared" si="4"/>
        <v>190.55</v>
      </c>
      <c r="G87" s="19" t="str">
        <f t="shared" si="5"/>
        <v>Active</v>
      </c>
      <c r="H87" s="20"/>
      <c r="O87" s="68">
        <f t="shared" si="6"/>
        <v>13</v>
      </c>
      <c r="P87" s="68">
        <f>IF(B87="", 0, IFERROR(MIN(C87+D87, VLOOKUP(B87, '💳 Debt Input'!$A:$G, 4, FALSE)), 0))</f>
        <v>25</v>
      </c>
    </row>
    <row r="88" spans="1:16" ht="18" customHeight="1" x14ac:dyDescent="0.35">
      <c r="A88" s="52"/>
      <c r="B88" s="26" t="str">
        <f>'💳 Debt Input'!$A$4</f>
        <v>Store Card</v>
      </c>
      <c r="C88" s="27">
        <f t="shared" si="7"/>
        <v>0</v>
      </c>
      <c r="D88" s="27">
        <f>ROUND(C88*'💳 Debt Input'!$C$4/12,2)</f>
        <v>0</v>
      </c>
      <c r="E88" s="27">
        <f>IF(B88="", "", MIN(C88+D88, MAX(P88, $F$3 - SUMIFS(E$10:E87, O$10:O87, O88) - SUMIFS(P89:P$1995, O89:O$1995, O88))))</f>
        <v>0</v>
      </c>
      <c r="F88" s="27">
        <f t="shared" si="4"/>
        <v>0</v>
      </c>
      <c r="G88" s="28" t="str">
        <f t="shared" si="5"/>
        <v>Paid off</v>
      </c>
      <c r="H88" s="29"/>
      <c r="O88" s="68">
        <f t="shared" si="6"/>
        <v>13</v>
      </c>
      <c r="P88" s="68">
        <f>IF(B88="", 0, IFERROR(MIN(C88+D88, VLOOKUP(B88, '💳 Debt Input'!$A:$G, 4, FALSE)), 0))</f>
        <v>0</v>
      </c>
    </row>
    <row r="89" spans="1:16" ht="18" customHeight="1" x14ac:dyDescent="0.35">
      <c r="A89" s="48">
        <v>14</v>
      </c>
      <c r="B89" s="6" t="str">
        <f>'💳 Debt Input'!$A$9</f>
        <v>Rewards Visa</v>
      </c>
      <c r="C89" s="12">
        <f t="shared" si="7"/>
        <v>15869.85</v>
      </c>
      <c r="D89" s="12">
        <f>ROUND(C89*'💳 Debt Input'!$C$9/12,2)</f>
        <v>476.1</v>
      </c>
      <c r="E89" s="12">
        <f>IF(B89="", "", MIN(C89+D89, MAX(P89, $F$3 - SUMIFS(E$10:E88, O$10:O88, O89) - SUMIFS(P90:P$1995, O90:O$1995, O89))))</f>
        <v>505</v>
      </c>
      <c r="F89" s="12">
        <f t="shared" si="4"/>
        <v>15840.95</v>
      </c>
      <c r="G89" s="22" t="str">
        <f t="shared" si="5"/>
        <v>Active</v>
      </c>
      <c r="H89" s="23"/>
      <c r="O89" s="68">
        <f t="shared" si="6"/>
        <v>14</v>
      </c>
      <c r="P89" s="68">
        <f>IF(B89="", 0, IFERROR(MIN(C89+D89, VLOOKUP(B89, '💳 Debt Input'!$A:$G, 4, FALSE)), 0))</f>
        <v>480</v>
      </c>
    </row>
    <row r="90" spans="1:16" ht="18" customHeight="1" x14ac:dyDescent="0.35">
      <c r="A90" s="49"/>
      <c r="B90" s="6" t="str">
        <f>'💳 Debt Input'!$A$8</f>
        <v>Travel Card</v>
      </c>
      <c r="C90" s="12">
        <f t="shared" si="7"/>
        <v>7078.04</v>
      </c>
      <c r="D90" s="12">
        <f>ROUND(C90*'💳 Debt Input'!$C$8/12,2)</f>
        <v>106.17</v>
      </c>
      <c r="E90" s="12">
        <f>IF(B90="", "", MIN(C90+D90, MAX(P90, $F$3 - SUMIFS(E$10:E89, O$10:O89, O90) - SUMIFS(P91:P$1995, O91:O$1995, O90))))</f>
        <v>270</v>
      </c>
      <c r="F90" s="12">
        <f t="shared" si="4"/>
        <v>6914.21</v>
      </c>
      <c r="G90" s="22" t="str">
        <f t="shared" si="5"/>
        <v>Active</v>
      </c>
      <c r="H90" s="23"/>
      <c r="O90" s="68">
        <f t="shared" si="6"/>
        <v>14</v>
      </c>
      <c r="P90" s="68">
        <f>IF(B90="", 0, IFERROR(MIN(C90+D90, VLOOKUP(B90, '💳 Debt Input'!$A:$G, 4, FALSE)), 0))</f>
        <v>270</v>
      </c>
    </row>
    <row r="91" spans="1:16" ht="18" customHeight="1" x14ac:dyDescent="0.35">
      <c r="A91" s="49"/>
      <c r="B91" s="6" t="str">
        <f>'💳 Debt Input'!$A$7</f>
        <v>Auto Loan</v>
      </c>
      <c r="C91" s="12">
        <f t="shared" si="7"/>
        <v>2815.23</v>
      </c>
      <c r="D91" s="12">
        <f>ROUND(C91*'💳 Debt Input'!$C$7/12,2)</f>
        <v>23.46</v>
      </c>
      <c r="E91" s="12">
        <f>IF(B91="", "", MIN(C91+D91, MAX(P91, $F$3 - SUMIFS(E$10:E90, O$10:O90, O91) - SUMIFS(P92:P$1995, O92:O$1995, O91))))</f>
        <v>120</v>
      </c>
      <c r="F91" s="12">
        <f t="shared" si="4"/>
        <v>2718.69</v>
      </c>
      <c r="G91" s="22" t="str">
        <f t="shared" si="5"/>
        <v>Active</v>
      </c>
      <c r="H91" s="23"/>
      <c r="O91" s="68">
        <f t="shared" si="6"/>
        <v>14</v>
      </c>
      <c r="P91" s="68">
        <f>IF(B91="", 0, IFERROR(MIN(C91+D91, VLOOKUP(B91, '💳 Debt Input'!$A:$G, 4, FALSE)), 0))</f>
        <v>120</v>
      </c>
    </row>
    <row r="92" spans="1:16" ht="18" customHeight="1" x14ac:dyDescent="0.35">
      <c r="A92" s="49"/>
      <c r="B92" s="6" t="str">
        <f>'💳 Debt Input'!$A$6</f>
        <v>Personal Loan</v>
      </c>
      <c r="C92" s="12">
        <f t="shared" si="7"/>
        <v>1064.6099999999999</v>
      </c>
      <c r="D92" s="12">
        <f>ROUND(C92*'💳 Debt Input'!$C$6/12,2)</f>
        <v>5.32</v>
      </c>
      <c r="E92" s="12">
        <f>IF(B92="", "", MIN(C92+D92, MAX(P92, $F$3 - SUMIFS(E$10:E91, O$10:O91, O92) - SUMIFS(P93:P$1995, O93:O$1995, O92))))</f>
        <v>40</v>
      </c>
      <c r="F92" s="12">
        <f t="shared" si="4"/>
        <v>1029.93</v>
      </c>
      <c r="G92" s="22" t="str">
        <f t="shared" si="5"/>
        <v>Active</v>
      </c>
      <c r="H92" s="23"/>
      <c r="O92" s="68">
        <f t="shared" si="6"/>
        <v>14</v>
      </c>
      <c r="P92" s="68">
        <f>IF(B92="", 0, IFERROR(MIN(C92+D92, VLOOKUP(B92, '💳 Debt Input'!$A:$G, 4, FALSE)), 0))</f>
        <v>40</v>
      </c>
    </row>
    <row r="93" spans="1:16" ht="18" customHeight="1" x14ac:dyDescent="0.35">
      <c r="A93" s="49"/>
      <c r="B93" s="6" t="str">
        <f>'💳 Debt Input'!$A$5</f>
        <v>Medical Bill</v>
      </c>
      <c r="C93" s="12">
        <f t="shared" si="7"/>
        <v>190.55</v>
      </c>
      <c r="D93" s="12">
        <f>ROUND(C93*'💳 Debt Input'!$C$5/12,2)</f>
        <v>0.64</v>
      </c>
      <c r="E93" s="12">
        <f>IF(B93="", "", MIN(C93+D93, MAX(P93, $F$3 - SUMIFS(E$10:E92, O$10:O92, O93) - SUMIFS(P94:P$1995, O94:O$1995, O93))))</f>
        <v>25</v>
      </c>
      <c r="F93" s="12">
        <f t="shared" si="4"/>
        <v>166.19</v>
      </c>
      <c r="G93" s="22" t="str">
        <f t="shared" si="5"/>
        <v>Active</v>
      </c>
      <c r="H93" s="23"/>
      <c r="O93" s="68">
        <f t="shared" si="6"/>
        <v>14</v>
      </c>
      <c r="P93" s="68">
        <f>IF(B93="", 0, IFERROR(MIN(C93+D93, VLOOKUP(B93, '💳 Debt Input'!$A:$G, 4, FALSE)), 0))</f>
        <v>25</v>
      </c>
    </row>
    <row r="94" spans="1:16" ht="18" customHeight="1" x14ac:dyDescent="0.35">
      <c r="A94" s="52"/>
      <c r="B94" s="26" t="str">
        <f>'💳 Debt Input'!$A$4</f>
        <v>Store Card</v>
      </c>
      <c r="C94" s="27">
        <f t="shared" si="7"/>
        <v>0</v>
      </c>
      <c r="D94" s="27">
        <f>ROUND(C94*'💳 Debt Input'!$C$4/12,2)</f>
        <v>0</v>
      </c>
      <c r="E94" s="27">
        <f>IF(B94="", "", MIN(C94+D94, MAX(P94, $F$3 - SUMIFS(E$10:E93, O$10:O93, O94) - SUMIFS(P95:P$1995, O95:O$1995, O94))))</f>
        <v>0</v>
      </c>
      <c r="F94" s="27">
        <f t="shared" si="4"/>
        <v>0</v>
      </c>
      <c r="G94" s="28" t="str">
        <f t="shared" si="5"/>
        <v>Paid off</v>
      </c>
      <c r="H94" s="29"/>
      <c r="O94" s="68">
        <f t="shared" si="6"/>
        <v>14</v>
      </c>
      <c r="P94" s="68">
        <f>IF(B94="", 0, IFERROR(MIN(C94+D94, VLOOKUP(B94, '💳 Debt Input'!$A:$G, 4, FALSE)), 0))</f>
        <v>0</v>
      </c>
    </row>
    <row r="95" spans="1:16" ht="18" customHeight="1" x14ac:dyDescent="0.35">
      <c r="A95" s="50">
        <v>15</v>
      </c>
      <c r="B95" s="8" t="str">
        <f>'💳 Debt Input'!$A$9</f>
        <v>Rewards Visa</v>
      </c>
      <c r="C95" s="10">
        <f t="shared" si="7"/>
        <v>15840.95</v>
      </c>
      <c r="D95" s="10">
        <f>ROUND(C95*'💳 Debt Input'!$C$9/12,2)</f>
        <v>475.23</v>
      </c>
      <c r="E95" s="10">
        <f>IF(B95="", "", MIN(C95+D95, MAX(P95, $F$3 - SUMIFS(E$10:E94, O$10:O94, O95) - SUMIFS(P96:P$1995, O96:O$1995, O95))))</f>
        <v>505</v>
      </c>
      <c r="F95" s="10">
        <f t="shared" si="4"/>
        <v>15811.18</v>
      </c>
      <c r="G95" s="19" t="str">
        <f t="shared" si="5"/>
        <v>Active</v>
      </c>
      <c r="H95" s="20"/>
      <c r="O95" s="68">
        <f t="shared" si="6"/>
        <v>15</v>
      </c>
      <c r="P95" s="68">
        <f>IF(B95="", 0, IFERROR(MIN(C95+D95, VLOOKUP(B95, '💳 Debt Input'!$A:$G, 4, FALSE)), 0))</f>
        <v>480</v>
      </c>
    </row>
    <row r="96" spans="1:16" ht="18" customHeight="1" x14ac:dyDescent="0.35">
      <c r="A96" s="47"/>
      <c r="B96" s="8" t="str">
        <f>'💳 Debt Input'!$A$8</f>
        <v>Travel Card</v>
      </c>
      <c r="C96" s="10">
        <f t="shared" si="7"/>
        <v>6914.21</v>
      </c>
      <c r="D96" s="10">
        <f>ROUND(C96*'💳 Debt Input'!$C$8/12,2)</f>
        <v>103.71</v>
      </c>
      <c r="E96" s="10">
        <f>IF(B96="", "", MIN(C96+D96, MAX(P96, $F$3 - SUMIFS(E$10:E95, O$10:O95, O96) - SUMIFS(P97:P$1995, O97:O$1995, O96))))</f>
        <v>270</v>
      </c>
      <c r="F96" s="10">
        <f t="shared" si="4"/>
        <v>6747.92</v>
      </c>
      <c r="G96" s="19" t="str">
        <f t="shared" si="5"/>
        <v>Active</v>
      </c>
      <c r="H96" s="20"/>
      <c r="O96" s="68">
        <f t="shared" si="6"/>
        <v>15</v>
      </c>
      <c r="P96" s="68">
        <f>IF(B96="", 0, IFERROR(MIN(C96+D96, VLOOKUP(B96, '💳 Debt Input'!$A:$G, 4, FALSE)), 0))</f>
        <v>270</v>
      </c>
    </row>
    <row r="97" spans="1:16" ht="18" customHeight="1" x14ac:dyDescent="0.35">
      <c r="A97" s="47"/>
      <c r="B97" s="8" t="str">
        <f>'💳 Debt Input'!$A$7</f>
        <v>Auto Loan</v>
      </c>
      <c r="C97" s="10">
        <f t="shared" si="7"/>
        <v>2718.69</v>
      </c>
      <c r="D97" s="10">
        <f>ROUND(C97*'💳 Debt Input'!$C$7/12,2)</f>
        <v>22.66</v>
      </c>
      <c r="E97" s="10">
        <f>IF(B97="", "", MIN(C97+D97, MAX(P97, $F$3 - SUMIFS(E$10:E96, O$10:O96, O97) - SUMIFS(P98:P$1995, O98:O$1995, O97))))</f>
        <v>120</v>
      </c>
      <c r="F97" s="10">
        <f t="shared" si="4"/>
        <v>2621.35</v>
      </c>
      <c r="G97" s="19" t="str">
        <f t="shared" si="5"/>
        <v>Active</v>
      </c>
      <c r="H97" s="20"/>
      <c r="O97" s="68">
        <f t="shared" si="6"/>
        <v>15</v>
      </c>
      <c r="P97" s="68">
        <f>IF(B97="", 0, IFERROR(MIN(C97+D97, VLOOKUP(B97, '💳 Debt Input'!$A:$G, 4, FALSE)), 0))</f>
        <v>120</v>
      </c>
    </row>
    <row r="98" spans="1:16" ht="18" customHeight="1" x14ac:dyDescent="0.35">
      <c r="A98" s="47"/>
      <c r="B98" s="8" t="str">
        <f>'💳 Debt Input'!$A$6</f>
        <v>Personal Loan</v>
      </c>
      <c r="C98" s="10">
        <f t="shared" si="7"/>
        <v>1029.93</v>
      </c>
      <c r="D98" s="10">
        <f>ROUND(C98*'💳 Debt Input'!$C$6/12,2)</f>
        <v>5.15</v>
      </c>
      <c r="E98" s="10">
        <f>IF(B98="", "", MIN(C98+D98, MAX(P98, $F$3 - SUMIFS(E$10:E97, O$10:O97, O98) - SUMIFS(P99:P$1995, O99:O$1995, O98))))</f>
        <v>40</v>
      </c>
      <c r="F98" s="10">
        <f t="shared" si="4"/>
        <v>995.08</v>
      </c>
      <c r="G98" s="19" t="str">
        <f t="shared" si="5"/>
        <v>Active</v>
      </c>
      <c r="H98" s="20"/>
      <c r="O98" s="68">
        <f t="shared" si="6"/>
        <v>15</v>
      </c>
      <c r="P98" s="68">
        <f>IF(B98="", 0, IFERROR(MIN(C98+D98, VLOOKUP(B98, '💳 Debt Input'!$A:$G, 4, FALSE)), 0))</f>
        <v>40</v>
      </c>
    </row>
    <row r="99" spans="1:16" ht="18" customHeight="1" x14ac:dyDescent="0.35">
      <c r="A99" s="47"/>
      <c r="B99" s="8" t="str">
        <f>'💳 Debt Input'!$A$5</f>
        <v>Medical Bill</v>
      </c>
      <c r="C99" s="10">
        <f t="shared" si="7"/>
        <v>166.19</v>
      </c>
      <c r="D99" s="10">
        <f>ROUND(C99*'💳 Debt Input'!$C$5/12,2)</f>
        <v>0.55000000000000004</v>
      </c>
      <c r="E99" s="10">
        <f>IF(B99="", "", MIN(C99+D99, MAX(P99, $F$3 - SUMIFS(E$10:E98, O$10:O98, O99) - SUMIFS(P100:P$1995, O100:O$1995, O99))))</f>
        <v>25</v>
      </c>
      <c r="F99" s="10">
        <f t="shared" si="4"/>
        <v>141.74</v>
      </c>
      <c r="G99" s="19" t="str">
        <f t="shared" si="5"/>
        <v>Active</v>
      </c>
      <c r="H99" s="20"/>
      <c r="O99" s="68">
        <f t="shared" si="6"/>
        <v>15</v>
      </c>
      <c r="P99" s="68">
        <f>IF(B99="", 0, IFERROR(MIN(C99+D99, VLOOKUP(B99, '💳 Debt Input'!$A:$G, 4, FALSE)), 0))</f>
        <v>25</v>
      </c>
    </row>
    <row r="100" spans="1:16" ht="18" customHeight="1" x14ac:dyDescent="0.35">
      <c r="A100" s="52"/>
      <c r="B100" s="26" t="str">
        <f>'💳 Debt Input'!$A$4</f>
        <v>Store Card</v>
      </c>
      <c r="C100" s="27">
        <f t="shared" si="7"/>
        <v>0</v>
      </c>
      <c r="D100" s="27">
        <f>ROUND(C100*'💳 Debt Input'!$C$4/12,2)</f>
        <v>0</v>
      </c>
      <c r="E100" s="27">
        <f>IF(B100="", "", MIN(C100+D100, MAX(P100, $F$3 - SUMIFS(E$10:E99, O$10:O99, O100) - SUMIFS(P101:P$1995, O101:O$1995, O100))))</f>
        <v>0</v>
      </c>
      <c r="F100" s="27">
        <f t="shared" si="4"/>
        <v>0</v>
      </c>
      <c r="G100" s="28" t="str">
        <f t="shared" si="5"/>
        <v>Paid off</v>
      </c>
      <c r="H100" s="29"/>
      <c r="O100" s="68">
        <f t="shared" si="6"/>
        <v>15</v>
      </c>
      <c r="P100" s="68">
        <f>IF(B100="", 0, IFERROR(MIN(C100+D100, VLOOKUP(B100, '💳 Debt Input'!$A:$G, 4, FALSE)), 0))</f>
        <v>0</v>
      </c>
    </row>
    <row r="101" spans="1:16" ht="18" customHeight="1" x14ac:dyDescent="0.35">
      <c r="A101" s="48">
        <v>16</v>
      </c>
      <c r="B101" s="6" t="str">
        <f>'💳 Debt Input'!$A$9</f>
        <v>Rewards Visa</v>
      </c>
      <c r="C101" s="12">
        <f t="shared" si="7"/>
        <v>15811.18</v>
      </c>
      <c r="D101" s="12">
        <f>ROUND(C101*'💳 Debt Input'!$C$9/12,2)</f>
        <v>474.34</v>
      </c>
      <c r="E101" s="12">
        <f>IF(B101="", "", MIN(C101+D101, MAX(P101, $F$3 - SUMIFS(E$10:E100, O$10:O100, O101) - SUMIFS(P102:P$1995, O102:O$1995, O101))))</f>
        <v>505</v>
      </c>
      <c r="F101" s="12">
        <f t="shared" si="4"/>
        <v>15780.52</v>
      </c>
      <c r="G101" s="22" t="str">
        <f t="shared" si="5"/>
        <v>Active</v>
      </c>
      <c r="H101" s="23"/>
      <c r="O101" s="68">
        <f t="shared" si="6"/>
        <v>16</v>
      </c>
      <c r="P101" s="68">
        <f>IF(B101="", 0, IFERROR(MIN(C101+D101, VLOOKUP(B101, '💳 Debt Input'!$A:$G, 4, FALSE)), 0))</f>
        <v>480</v>
      </c>
    </row>
    <row r="102" spans="1:16" ht="18" customHeight="1" x14ac:dyDescent="0.35">
      <c r="A102" s="49"/>
      <c r="B102" s="6" t="str">
        <f>'💳 Debt Input'!$A$8</f>
        <v>Travel Card</v>
      </c>
      <c r="C102" s="12">
        <f t="shared" si="7"/>
        <v>6747.92</v>
      </c>
      <c r="D102" s="12">
        <f>ROUND(C102*'💳 Debt Input'!$C$8/12,2)</f>
        <v>101.22</v>
      </c>
      <c r="E102" s="12">
        <f>IF(B102="", "", MIN(C102+D102, MAX(P102, $F$3 - SUMIFS(E$10:E101, O$10:O101, O102) - SUMIFS(P103:P$1995, O103:O$1995, O102))))</f>
        <v>270</v>
      </c>
      <c r="F102" s="12">
        <f t="shared" si="4"/>
        <v>6579.14</v>
      </c>
      <c r="G102" s="22" t="str">
        <f t="shared" si="5"/>
        <v>Active</v>
      </c>
      <c r="H102" s="23"/>
      <c r="O102" s="68">
        <f t="shared" si="6"/>
        <v>16</v>
      </c>
      <c r="P102" s="68">
        <f>IF(B102="", 0, IFERROR(MIN(C102+D102, VLOOKUP(B102, '💳 Debt Input'!$A:$G, 4, FALSE)), 0))</f>
        <v>270</v>
      </c>
    </row>
    <row r="103" spans="1:16" ht="18" customHeight="1" x14ac:dyDescent="0.35">
      <c r="A103" s="49"/>
      <c r="B103" s="6" t="str">
        <f>'💳 Debt Input'!$A$7</f>
        <v>Auto Loan</v>
      </c>
      <c r="C103" s="12">
        <f t="shared" si="7"/>
        <v>2621.35</v>
      </c>
      <c r="D103" s="12">
        <f>ROUND(C103*'💳 Debt Input'!$C$7/12,2)</f>
        <v>21.84</v>
      </c>
      <c r="E103" s="12">
        <f>IF(B103="", "", MIN(C103+D103, MAX(P103, $F$3 - SUMIFS(E$10:E102, O$10:O102, O103) - SUMIFS(P104:P$1995, O104:O$1995, O103))))</f>
        <v>120</v>
      </c>
      <c r="F103" s="12">
        <f t="shared" si="4"/>
        <v>2523.19</v>
      </c>
      <c r="G103" s="22" t="str">
        <f t="shared" si="5"/>
        <v>Active</v>
      </c>
      <c r="H103" s="23"/>
      <c r="O103" s="68">
        <f t="shared" si="6"/>
        <v>16</v>
      </c>
      <c r="P103" s="68">
        <f>IF(B103="", 0, IFERROR(MIN(C103+D103, VLOOKUP(B103, '💳 Debt Input'!$A:$G, 4, FALSE)), 0))</f>
        <v>120</v>
      </c>
    </row>
    <row r="104" spans="1:16" ht="18" customHeight="1" x14ac:dyDescent="0.35">
      <c r="A104" s="49"/>
      <c r="B104" s="6" t="str">
        <f>'💳 Debt Input'!$A$6</f>
        <v>Personal Loan</v>
      </c>
      <c r="C104" s="12">
        <f t="shared" si="7"/>
        <v>995.08</v>
      </c>
      <c r="D104" s="12">
        <f>ROUND(C104*'💳 Debt Input'!$C$6/12,2)</f>
        <v>4.9800000000000004</v>
      </c>
      <c r="E104" s="12">
        <f>IF(B104="", "", MIN(C104+D104, MAX(P104, $F$3 - SUMIFS(E$10:E103, O$10:O103, O104) - SUMIFS(P105:P$1995, O105:O$1995, O104))))</f>
        <v>40</v>
      </c>
      <c r="F104" s="12">
        <f t="shared" si="4"/>
        <v>960.06</v>
      </c>
      <c r="G104" s="22" t="str">
        <f t="shared" si="5"/>
        <v>Active</v>
      </c>
      <c r="H104" s="23"/>
      <c r="O104" s="68">
        <f t="shared" si="6"/>
        <v>16</v>
      </c>
      <c r="P104" s="68">
        <f>IF(B104="", 0, IFERROR(MIN(C104+D104, VLOOKUP(B104, '💳 Debt Input'!$A:$G, 4, FALSE)), 0))</f>
        <v>40</v>
      </c>
    </row>
    <row r="105" spans="1:16" ht="18" customHeight="1" x14ac:dyDescent="0.35">
      <c r="A105" s="49"/>
      <c r="B105" s="6" t="str">
        <f>'💳 Debt Input'!$A$5</f>
        <v>Medical Bill</v>
      </c>
      <c r="C105" s="12">
        <f t="shared" si="7"/>
        <v>141.74</v>
      </c>
      <c r="D105" s="12">
        <f>ROUND(C105*'💳 Debt Input'!$C$5/12,2)</f>
        <v>0.47</v>
      </c>
      <c r="E105" s="12">
        <f>IF(B105="", "", MIN(C105+D105, MAX(P105, $F$3 - SUMIFS(E$10:E104, O$10:O104, O105) - SUMIFS(P106:P$1995, O106:O$1995, O105))))</f>
        <v>25</v>
      </c>
      <c r="F105" s="12">
        <f t="shared" si="4"/>
        <v>117.21</v>
      </c>
      <c r="G105" s="22" t="str">
        <f t="shared" si="5"/>
        <v>Active</v>
      </c>
      <c r="H105" s="23"/>
      <c r="O105" s="68">
        <f t="shared" si="6"/>
        <v>16</v>
      </c>
      <c r="P105" s="68">
        <f>IF(B105="", 0, IFERROR(MIN(C105+D105, VLOOKUP(B105, '💳 Debt Input'!$A:$G, 4, FALSE)), 0))</f>
        <v>25</v>
      </c>
    </row>
    <row r="106" spans="1:16" ht="18" customHeight="1" x14ac:dyDescent="0.35">
      <c r="A106" s="52"/>
      <c r="B106" s="26" t="str">
        <f>'💳 Debt Input'!$A$4</f>
        <v>Store Card</v>
      </c>
      <c r="C106" s="27">
        <f t="shared" si="7"/>
        <v>0</v>
      </c>
      <c r="D106" s="27">
        <f>ROUND(C106*'💳 Debt Input'!$C$4/12,2)</f>
        <v>0</v>
      </c>
      <c r="E106" s="27">
        <f>IF(B106="", "", MIN(C106+D106, MAX(P106, $F$3 - SUMIFS(E$10:E105, O$10:O105, O106) - SUMIFS(P107:P$1995, O107:O$1995, O106))))</f>
        <v>0</v>
      </c>
      <c r="F106" s="27">
        <f t="shared" si="4"/>
        <v>0</v>
      </c>
      <c r="G106" s="28" t="str">
        <f t="shared" si="5"/>
        <v>Paid off</v>
      </c>
      <c r="H106" s="29"/>
      <c r="O106" s="68">
        <f t="shared" si="6"/>
        <v>16</v>
      </c>
      <c r="P106" s="68">
        <f>IF(B106="", 0, IFERROR(MIN(C106+D106, VLOOKUP(B106, '💳 Debt Input'!$A:$G, 4, FALSE)), 0))</f>
        <v>0</v>
      </c>
    </row>
    <row r="107" spans="1:16" ht="18" customHeight="1" x14ac:dyDescent="0.35">
      <c r="A107" s="50">
        <v>17</v>
      </c>
      <c r="B107" s="8" t="str">
        <f>'💳 Debt Input'!$A$9</f>
        <v>Rewards Visa</v>
      </c>
      <c r="C107" s="10">
        <f t="shared" si="7"/>
        <v>15780.52</v>
      </c>
      <c r="D107" s="10">
        <f>ROUND(C107*'💳 Debt Input'!$C$9/12,2)</f>
        <v>473.42</v>
      </c>
      <c r="E107" s="10">
        <f>IF(B107="", "", MIN(C107+D107, MAX(P107, $F$3 - SUMIFS(E$10:E106, O$10:O106, O107) - SUMIFS(P108:P$1995, O108:O$1995, O107))))</f>
        <v>505</v>
      </c>
      <c r="F107" s="10">
        <f t="shared" si="4"/>
        <v>15748.94</v>
      </c>
      <c r="G107" s="19" t="str">
        <f t="shared" si="5"/>
        <v>Active</v>
      </c>
      <c r="H107" s="20"/>
      <c r="O107" s="68">
        <f t="shared" si="6"/>
        <v>17</v>
      </c>
      <c r="P107" s="68">
        <f>IF(B107="", 0, IFERROR(MIN(C107+D107, VLOOKUP(B107, '💳 Debt Input'!$A:$G, 4, FALSE)), 0))</f>
        <v>480</v>
      </c>
    </row>
    <row r="108" spans="1:16" ht="18" customHeight="1" x14ac:dyDescent="0.35">
      <c r="A108" s="47"/>
      <c r="B108" s="8" t="str">
        <f>'💳 Debt Input'!$A$8</f>
        <v>Travel Card</v>
      </c>
      <c r="C108" s="10">
        <f t="shared" si="7"/>
        <v>6579.14</v>
      </c>
      <c r="D108" s="10">
        <f>ROUND(C108*'💳 Debt Input'!$C$8/12,2)</f>
        <v>98.69</v>
      </c>
      <c r="E108" s="10">
        <f>IF(B108="", "", MIN(C108+D108, MAX(P108, $F$3 - SUMIFS(E$10:E107, O$10:O107, O108) - SUMIFS(P109:P$1995, O109:O$1995, O108))))</f>
        <v>270</v>
      </c>
      <c r="F108" s="10">
        <f t="shared" si="4"/>
        <v>6407.83</v>
      </c>
      <c r="G108" s="19" t="str">
        <f t="shared" si="5"/>
        <v>Active</v>
      </c>
      <c r="H108" s="20"/>
      <c r="O108" s="68">
        <f t="shared" si="6"/>
        <v>17</v>
      </c>
      <c r="P108" s="68">
        <f>IF(B108="", 0, IFERROR(MIN(C108+D108, VLOOKUP(B108, '💳 Debt Input'!$A:$G, 4, FALSE)), 0))</f>
        <v>270</v>
      </c>
    </row>
    <row r="109" spans="1:16" ht="18" customHeight="1" x14ac:dyDescent="0.35">
      <c r="A109" s="47"/>
      <c r="B109" s="8" t="str">
        <f>'💳 Debt Input'!$A$7</f>
        <v>Auto Loan</v>
      </c>
      <c r="C109" s="10">
        <f t="shared" si="7"/>
        <v>2523.19</v>
      </c>
      <c r="D109" s="10">
        <f>ROUND(C109*'💳 Debt Input'!$C$7/12,2)</f>
        <v>21.03</v>
      </c>
      <c r="E109" s="10">
        <f>IF(B109="", "", MIN(C109+D109, MAX(P109, $F$3 - SUMIFS(E$10:E108, O$10:O108, O109) - SUMIFS(P110:P$1995, O110:O$1995, O109))))</f>
        <v>120</v>
      </c>
      <c r="F109" s="10">
        <f t="shared" si="4"/>
        <v>2424.2199999999998</v>
      </c>
      <c r="G109" s="19" t="str">
        <f t="shared" si="5"/>
        <v>Active</v>
      </c>
      <c r="H109" s="20"/>
      <c r="O109" s="68">
        <f t="shared" si="6"/>
        <v>17</v>
      </c>
      <c r="P109" s="68">
        <f>IF(B109="", 0, IFERROR(MIN(C109+D109, VLOOKUP(B109, '💳 Debt Input'!$A:$G, 4, FALSE)), 0))</f>
        <v>120</v>
      </c>
    </row>
    <row r="110" spans="1:16" ht="18" customHeight="1" x14ac:dyDescent="0.35">
      <c r="A110" s="47"/>
      <c r="B110" s="8" t="str">
        <f>'💳 Debt Input'!$A$6</f>
        <v>Personal Loan</v>
      </c>
      <c r="C110" s="10">
        <f t="shared" si="7"/>
        <v>960.06</v>
      </c>
      <c r="D110" s="10">
        <f>ROUND(C110*'💳 Debt Input'!$C$6/12,2)</f>
        <v>4.8</v>
      </c>
      <c r="E110" s="10">
        <f>IF(B110="", "", MIN(C110+D110, MAX(P110, $F$3 - SUMIFS(E$10:E109, O$10:O109, O110) - SUMIFS(P111:P$1995, O111:O$1995, O110))))</f>
        <v>40</v>
      </c>
      <c r="F110" s="10">
        <f t="shared" si="4"/>
        <v>924.86</v>
      </c>
      <c r="G110" s="19" t="str">
        <f t="shared" si="5"/>
        <v>Active</v>
      </c>
      <c r="H110" s="20"/>
      <c r="O110" s="68">
        <f t="shared" si="6"/>
        <v>17</v>
      </c>
      <c r="P110" s="68">
        <f>IF(B110="", 0, IFERROR(MIN(C110+D110, VLOOKUP(B110, '💳 Debt Input'!$A:$G, 4, FALSE)), 0))</f>
        <v>40</v>
      </c>
    </row>
    <row r="111" spans="1:16" ht="18" customHeight="1" x14ac:dyDescent="0.35">
      <c r="A111" s="47"/>
      <c r="B111" s="8" t="str">
        <f>'💳 Debt Input'!$A$5</f>
        <v>Medical Bill</v>
      </c>
      <c r="C111" s="10">
        <f t="shared" si="7"/>
        <v>117.21</v>
      </c>
      <c r="D111" s="10">
        <f>ROUND(C111*'💳 Debt Input'!$C$5/12,2)</f>
        <v>0.39</v>
      </c>
      <c r="E111" s="10">
        <f>IF(B111="", "", MIN(C111+D111, MAX(P111, $F$3 - SUMIFS(E$10:E110, O$10:O110, O111) - SUMIFS(P112:P$1995, O112:O$1995, O111))))</f>
        <v>25</v>
      </c>
      <c r="F111" s="10">
        <f t="shared" si="4"/>
        <v>92.6</v>
      </c>
      <c r="G111" s="19" t="str">
        <f t="shared" si="5"/>
        <v>Active</v>
      </c>
      <c r="H111" s="20"/>
      <c r="O111" s="68">
        <f t="shared" si="6"/>
        <v>17</v>
      </c>
      <c r="P111" s="68">
        <f>IF(B111="", 0, IFERROR(MIN(C111+D111, VLOOKUP(B111, '💳 Debt Input'!$A:$G, 4, FALSE)), 0))</f>
        <v>25</v>
      </c>
    </row>
    <row r="112" spans="1:16" ht="18" customHeight="1" x14ac:dyDescent="0.35">
      <c r="A112" s="52"/>
      <c r="B112" s="26" t="str">
        <f>'💳 Debt Input'!$A$4</f>
        <v>Store Card</v>
      </c>
      <c r="C112" s="27">
        <f t="shared" si="7"/>
        <v>0</v>
      </c>
      <c r="D112" s="27">
        <f>ROUND(C112*'💳 Debt Input'!$C$4/12,2)</f>
        <v>0</v>
      </c>
      <c r="E112" s="27">
        <f>IF(B112="", "", MIN(C112+D112, MAX(P112, $F$3 - SUMIFS(E$10:E111, O$10:O111, O112) - SUMIFS(P113:P$1995, O113:O$1995, O112))))</f>
        <v>0</v>
      </c>
      <c r="F112" s="27">
        <f t="shared" si="4"/>
        <v>0</v>
      </c>
      <c r="G112" s="28" t="str">
        <f t="shared" si="5"/>
        <v>Paid off</v>
      </c>
      <c r="H112" s="29"/>
      <c r="O112" s="68">
        <f t="shared" si="6"/>
        <v>17</v>
      </c>
      <c r="P112" s="68">
        <f>IF(B112="", 0, IFERROR(MIN(C112+D112, VLOOKUP(B112, '💳 Debt Input'!$A:$G, 4, FALSE)), 0))</f>
        <v>0</v>
      </c>
    </row>
    <row r="113" spans="1:16" ht="18" customHeight="1" x14ac:dyDescent="0.35">
      <c r="A113" s="48">
        <v>18</v>
      </c>
      <c r="B113" s="6" t="str">
        <f>'💳 Debt Input'!$A$9</f>
        <v>Rewards Visa</v>
      </c>
      <c r="C113" s="12">
        <f t="shared" si="7"/>
        <v>15748.94</v>
      </c>
      <c r="D113" s="12">
        <f>ROUND(C113*'💳 Debt Input'!$C$9/12,2)</f>
        <v>472.47</v>
      </c>
      <c r="E113" s="12">
        <f>IF(B113="", "", MIN(C113+D113, MAX(P113, $F$3 - SUMIFS(E$10:E112, O$10:O112, O113) - SUMIFS(P114:P$1995, O114:O$1995, O113))))</f>
        <v>505</v>
      </c>
      <c r="F113" s="12">
        <f t="shared" si="4"/>
        <v>15716.41</v>
      </c>
      <c r="G113" s="22" t="str">
        <f t="shared" si="5"/>
        <v>Active</v>
      </c>
      <c r="H113" s="23"/>
      <c r="O113" s="68">
        <f t="shared" si="6"/>
        <v>18</v>
      </c>
      <c r="P113" s="68">
        <f>IF(B113="", 0, IFERROR(MIN(C113+D113, VLOOKUP(B113, '💳 Debt Input'!$A:$G, 4, FALSE)), 0))</f>
        <v>480</v>
      </c>
    </row>
    <row r="114" spans="1:16" ht="18" customHeight="1" x14ac:dyDescent="0.35">
      <c r="A114" s="49"/>
      <c r="B114" s="6" t="str">
        <f>'💳 Debt Input'!$A$8</f>
        <v>Travel Card</v>
      </c>
      <c r="C114" s="12">
        <f t="shared" si="7"/>
        <v>6407.83</v>
      </c>
      <c r="D114" s="12">
        <f>ROUND(C114*'💳 Debt Input'!$C$8/12,2)</f>
        <v>96.12</v>
      </c>
      <c r="E114" s="12">
        <f>IF(B114="", "", MIN(C114+D114, MAX(P114, $F$3 - SUMIFS(E$10:E113, O$10:O113, O114) - SUMIFS(P115:P$1995, O115:O$1995, O114))))</f>
        <v>270</v>
      </c>
      <c r="F114" s="12">
        <f t="shared" si="4"/>
        <v>6233.95</v>
      </c>
      <c r="G114" s="22" t="str">
        <f t="shared" si="5"/>
        <v>Active</v>
      </c>
      <c r="H114" s="23"/>
      <c r="O114" s="68">
        <f t="shared" si="6"/>
        <v>18</v>
      </c>
      <c r="P114" s="68">
        <f>IF(B114="", 0, IFERROR(MIN(C114+D114, VLOOKUP(B114, '💳 Debt Input'!$A:$G, 4, FALSE)), 0))</f>
        <v>270</v>
      </c>
    </row>
    <row r="115" spans="1:16" ht="18" customHeight="1" x14ac:dyDescent="0.35">
      <c r="A115" s="49"/>
      <c r="B115" s="6" t="str">
        <f>'💳 Debt Input'!$A$7</f>
        <v>Auto Loan</v>
      </c>
      <c r="C115" s="12">
        <f t="shared" si="7"/>
        <v>2424.2199999999998</v>
      </c>
      <c r="D115" s="12">
        <f>ROUND(C115*'💳 Debt Input'!$C$7/12,2)</f>
        <v>20.2</v>
      </c>
      <c r="E115" s="12">
        <f>IF(B115="", "", MIN(C115+D115, MAX(P115, $F$3 - SUMIFS(E$10:E114, O$10:O114, O115) - SUMIFS(P116:P$1995, O116:O$1995, O115))))</f>
        <v>120</v>
      </c>
      <c r="F115" s="12">
        <f t="shared" si="4"/>
        <v>2324.42</v>
      </c>
      <c r="G115" s="22" t="str">
        <f t="shared" si="5"/>
        <v>Active</v>
      </c>
      <c r="H115" s="23"/>
      <c r="O115" s="68">
        <f t="shared" si="6"/>
        <v>18</v>
      </c>
      <c r="P115" s="68">
        <f>IF(B115="", 0, IFERROR(MIN(C115+D115, VLOOKUP(B115, '💳 Debt Input'!$A:$G, 4, FALSE)), 0))</f>
        <v>120</v>
      </c>
    </row>
    <row r="116" spans="1:16" ht="18" customHeight="1" x14ac:dyDescent="0.35">
      <c r="A116" s="49"/>
      <c r="B116" s="6" t="str">
        <f>'💳 Debt Input'!$A$6</f>
        <v>Personal Loan</v>
      </c>
      <c r="C116" s="12">
        <f t="shared" si="7"/>
        <v>924.86</v>
      </c>
      <c r="D116" s="12">
        <f>ROUND(C116*'💳 Debt Input'!$C$6/12,2)</f>
        <v>4.62</v>
      </c>
      <c r="E116" s="12">
        <f>IF(B116="", "", MIN(C116+D116, MAX(P116, $F$3 - SUMIFS(E$10:E115, O$10:O115, O116) - SUMIFS(P117:P$1995, O117:O$1995, O116))))</f>
        <v>40</v>
      </c>
      <c r="F116" s="12">
        <f t="shared" si="4"/>
        <v>889.48</v>
      </c>
      <c r="G116" s="22" t="str">
        <f t="shared" si="5"/>
        <v>Active</v>
      </c>
      <c r="H116" s="23"/>
      <c r="O116" s="68">
        <f t="shared" si="6"/>
        <v>18</v>
      </c>
      <c r="P116" s="68">
        <f>IF(B116="", 0, IFERROR(MIN(C116+D116, VLOOKUP(B116, '💳 Debt Input'!$A:$G, 4, FALSE)), 0))</f>
        <v>40</v>
      </c>
    </row>
    <row r="117" spans="1:16" ht="18" customHeight="1" x14ac:dyDescent="0.35">
      <c r="A117" s="49"/>
      <c r="B117" s="6" t="str">
        <f>'💳 Debt Input'!$A$5</f>
        <v>Medical Bill</v>
      </c>
      <c r="C117" s="12">
        <f t="shared" si="7"/>
        <v>92.6</v>
      </c>
      <c r="D117" s="12">
        <f>ROUND(C117*'💳 Debt Input'!$C$5/12,2)</f>
        <v>0.31</v>
      </c>
      <c r="E117" s="12">
        <f>IF(B117="", "", MIN(C117+D117, MAX(P117, $F$3 - SUMIFS(E$10:E116, O$10:O116, O117) - SUMIFS(P118:P$1995, O118:O$1995, O117))))</f>
        <v>25</v>
      </c>
      <c r="F117" s="12">
        <f t="shared" si="4"/>
        <v>67.91</v>
      </c>
      <c r="G117" s="22" t="str">
        <f t="shared" si="5"/>
        <v>Active</v>
      </c>
      <c r="H117" s="23"/>
      <c r="O117" s="68">
        <f t="shared" si="6"/>
        <v>18</v>
      </c>
      <c r="P117" s="68">
        <f>IF(B117="", 0, IFERROR(MIN(C117+D117, VLOOKUP(B117, '💳 Debt Input'!$A:$G, 4, FALSE)), 0))</f>
        <v>25</v>
      </c>
    </row>
    <row r="118" spans="1:16" ht="18" customHeight="1" x14ac:dyDescent="0.35">
      <c r="A118" s="52"/>
      <c r="B118" s="26" t="str">
        <f>'💳 Debt Input'!$A$4</f>
        <v>Store Card</v>
      </c>
      <c r="C118" s="27">
        <f t="shared" si="7"/>
        <v>0</v>
      </c>
      <c r="D118" s="27">
        <f>ROUND(C118*'💳 Debt Input'!$C$4/12,2)</f>
        <v>0</v>
      </c>
      <c r="E118" s="27">
        <f>IF(B118="", "", MIN(C118+D118, MAX(P118, $F$3 - SUMIFS(E$10:E117, O$10:O117, O118) - SUMIFS(P119:P$1995, O119:O$1995, O118))))</f>
        <v>0</v>
      </c>
      <c r="F118" s="27">
        <f t="shared" si="4"/>
        <v>0</v>
      </c>
      <c r="G118" s="28" t="str">
        <f t="shared" si="5"/>
        <v>Paid off</v>
      </c>
      <c r="H118" s="29"/>
      <c r="O118" s="68">
        <f t="shared" si="6"/>
        <v>18</v>
      </c>
      <c r="P118" s="68">
        <f>IF(B118="", 0, IFERROR(MIN(C118+D118, VLOOKUP(B118, '💳 Debt Input'!$A:$G, 4, FALSE)), 0))</f>
        <v>0</v>
      </c>
    </row>
    <row r="119" spans="1:16" ht="18" customHeight="1" x14ac:dyDescent="0.35">
      <c r="A119" s="50">
        <v>19</v>
      </c>
      <c r="B119" s="8" t="str">
        <f>'💳 Debt Input'!$A$9</f>
        <v>Rewards Visa</v>
      </c>
      <c r="C119" s="10">
        <f t="shared" si="7"/>
        <v>15716.41</v>
      </c>
      <c r="D119" s="10">
        <f>ROUND(C119*'💳 Debt Input'!$C$9/12,2)</f>
        <v>471.49</v>
      </c>
      <c r="E119" s="10">
        <f>IF(B119="", "", MIN(C119+D119, MAX(P119, $F$3 - SUMIFS(E$10:E118, O$10:O118, O119) - SUMIFS(P120:P$1995, O120:O$1995, O119))))</f>
        <v>505</v>
      </c>
      <c r="F119" s="10">
        <f t="shared" si="4"/>
        <v>15682.9</v>
      </c>
      <c r="G119" s="19" t="str">
        <f t="shared" si="5"/>
        <v>Active</v>
      </c>
      <c r="H119" s="20"/>
      <c r="O119" s="68">
        <f t="shared" si="6"/>
        <v>19</v>
      </c>
      <c r="P119" s="68">
        <f>IF(B119="", 0, IFERROR(MIN(C119+D119, VLOOKUP(B119, '💳 Debt Input'!$A:$G, 4, FALSE)), 0))</f>
        <v>480</v>
      </c>
    </row>
    <row r="120" spans="1:16" ht="18" customHeight="1" x14ac:dyDescent="0.35">
      <c r="A120" s="47"/>
      <c r="B120" s="8" t="str">
        <f>'💳 Debt Input'!$A$8</f>
        <v>Travel Card</v>
      </c>
      <c r="C120" s="10">
        <f t="shared" si="7"/>
        <v>6233.95</v>
      </c>
      <c r="D120" s="10">
        <f>ROUND(C120*'💳 Debt Input'!$C$8/12,2)</f>
        <v>93.51</v>
      </c>
      <c r="E120" s="10">
        <f>IF(B120="", "", MIN(C120+D120, MAX(P120, $F$3 - SUMIFS(E$10:E119, O$10:O119, O120) - SUMIFS(P121:P$1995, O121:O$1995, O120))))</f>
        <v>270</v>
      </c>
      <c r="F120" s="10">
        <f t="shared" si="4"/>
        <v>6057.46</v>
      </c>
      <c r="G120" s="19" t="str">
        <f t="shared" si="5"/>
        <v>Active</v>
      </c>
      <c r="H120" s="20"/>
      <c r="O120" s="68">
        <f t="shared" si="6"/>
        <v>19</v>
      </c>
      <c r="P120" s="68">
        <f>IF(B120="", 0, IFERROR(MIN(C120+D120, VLOOKUP(B120, '💳 Debt Input'!$A:$G, 4, FALSE)), 0))</f>
        <v>270</v>
      </c>
    </row>
    <row r="121" spans="1:16" ht="18" customHeight="1" x14ac:dyDescent="0.35">
      <c r="A121" s="47"/>
      <c r="B121" s="8" t="str">
        <f>'💳 Debt Input'!$A$7</f>
        <v>Auto Loan</v>
      </c>
      <c r="C121" s="10">
        <f t="shared" si="7"/>
        <v>2324.42</v>
      </c>
      <c r="D121" s="10">
        <f>ROUND(C121*'💳 Debt Input'!$C$7/12,2)</f>
        <v>19.37</v>
      </c>
      <c r="E121" s="10">
        <f>IF(B121="", "", MIN(C121+D121, MAX(P121, $F$3 - SUMIFS(E$10:E120, O$10:O120, O121) - SUMIFS(P122:P$1995, O122:O$1995, O121))))</f>
        <v>120</v>
      </c>
      <c r="F121" s="10">
        <f t="shared" si="4"/>
        <v>2223.79</v>
      </c>
      <c r="G121" s="19" t="str">
        <f t="shared" si="5"/>
        <v>Active</v>
      </c>
      <c r="H121" s="20"/>
      <c r="O121" s="68">
        <f t="shared" si="6"/>
        <v>19</v>
      </c>
      <c r="P121" s="68">
        <f>IF(B121="", 0, IFERROR(MIN(C121+D121, VLOOKUP(B121, '💳 Debt Input'!$A:$G, 4, FALSE)), 0))</f>
        <v>120</v>
      </c>
    </row>
    <row r="122" spans="1:16" ht="18" customHeight="1" x14ac:dyDescent="0.35">
      <c r="A122" s="47"/>
      <c r="B122" s="8" t="str">
        <f>'💳 Debt Input'!$A$6</f>
        <v>Personal Loan</v>
      </c>
      <c r="C122" s="10">
        <f t="shared" si="7"/>
        <v>889.48</v>
      </c>
      <c r="D122" s="10">
        <f>ROUND(C122*'💳 Debt Input'!$C$6/12,2)</f>
        <v>4.45</v>
      </c>
      <c r="E122" s="10">
        <f>IF(B122="", "", MIN(C122+D122, MAX(P122, $F$3 - SUMIFS(E$10:E121, O$10:O121, O122) - SUMIFS(P123:P$1995, O123:O$1995, O122))))</f>
        <v>40</v>
      </c>
      <c r="F122" s="10">
        <f t="shared" si="4"/>
        <v>853.93</v>
      </c>
      <c r="G122" s="19" t="str">
        <f t="shared" si="5"/>
        <v>Active</v>
      </c>
      <c r="H122" s="20"/>
      <c r="O122" s="68">
        <f t="shared" si="6"/>
        <v>19</v>
      </c>
      <c r="P122" s="68">
        <f>IF(B122="", 0, IFERROR(MIN(C122+D122, VLOOKUP(B122, '💳 Debt Input'!$A:$G, 4, FALSE)), 0))</f>
        <v>40</v>
      </c>
    </row>
    <row r="123" spans="1:16" ht="18" customHeight="1" x14ac:dyDescent="0.35">
      <c r="A123" s="47"/>
      <c r="B123" s="8" t="str">
        <f>'💳 Debt Input'!$A$5</f>
        <v>Medical Bill</v>
      </c>
      <c r="C123" s="10">
        <f t="shared" si="7"/>
        <v>67.91</v>
      </c>
      <c r="D123" s="10">
        <f>ROUND(C123*'💳 Debt Input'!$C$5/12,2)</f>
        <v>0.23</v>
      </c>
      <c r="E123" s="10">
        <f>IF(B123="", "", MIN(C123+D123, MAX(P123, $F$3 - SUMIFS(E$10:E122, O$10:O122, O123) - SUMIFS(P124:P$1995, O124:O$1995, O123))))</f>
        <v>25</v>
      </c>
      <c r="F123" s="10">
        <f t="shared" si="4"/>
        <v>43.14</v>
      </c>
      <c r="G123" s="19" t="str">
        <f t="shared" si="5"/>
        <v>Active</v>
      </c>
      <c r="H123" s="20"/>
      <c r="O123" s="68">
        <f t="shared" si="6"/>
        <v>19</v>
      </c>
      <c r="P123" s="68">
        <f>IF(B123="", 0, IFERROR(MIN(C123+D123, VLOOKUP(B123, '💳 Debt Input'!$A:$G, 4, FALSE)), 0))</f>
        <v>25</v>
      </c>
    </row>
    <row r="124" spans="1:16" ht="18" customHeight="1" x14ac:dyDescent="0.35">
      <c r="A124" s="52"/>
      <c r="B124" s="26" t="str">
        <f>'💳 Debt Input'!$A$4</f>
        <v>Store Card</v>
      </c>
      <c r="C124" s="27">
        <f t="shared" si="7"/>
        <v>0</v>
      </c>
      <c r="D124" s="27">
        <f>ROUND(C124*'💳 Debt Input'!$C$4/12,2)</f>
        <v>0</v>
      </c>
      <c r="E124" s="27">
        <f>IF(B124="", "", MIN(C124+D124, MAX(P124, $F$3 - SUMIFS(E$10:E123, O$10:O123, O124) - SUMIFS(P125:P$1995, O125:O$1995, O124))))</f>
        <v>0</v>
      </c>
      <c r="F124" s="27">
        <f t="shared" si="4"/>
        <v>0</v>
      </c>
      <c r="G124" s="28" t="str">
        <f t="shared" si="5"/>
        <v>Paid off</v>
      </c>
      <c r="H124" s="29"/>
      <c r="O124" s="68">
        <f t="shared" si="6"/>
        <v>19</v>
      </c>
      <c r="P124" s="68">
        <f>IF(B124="", 0, IFERROR(MIN(C124+D124, VLOOKUP(B124, '💳 Debt Input'!$A:$G, 4, FALSE)), 0))</f>
        <v>0</v>
      </c>
    </row>
    <row r="125" spans="1:16" ht="18" customHeight="1" x14ac:dyDescent="0.35">
      <c r="A125" s="48">
        <v>20</v>
      </c>
      <c r="B125" s="6" t="str">
        <f>'💳 Debt Input'!$A$9</f>
        <v>Rewards Visa</v>
      </c>
      <c r="C125" s="12">
        <f t="shared" si="7"/>
        <v>15682.9</v>
      </c>
      <c r="D125" s="12">
        <f>ROUND(C125*'💳 Debt Input'!$C$9/12,2)</f>
        <v>470.49</v>
      </c>
      <c r="E125" s="12">
        <f>IF(B125="", "", MIN(C125+D125, MAX(P125, $F$3 - SUMIFS(E$10:E124, O$10:O124, O125) - SUMIFS(P126:P$1995, O126:O$1995, O125))))</f>
        <v>505</v>
      </c>
      <c r="F125" s="12">
        <f t="shared" si="4"/>
        <v>15648.39</v>
      </c>
      <c r="G125" s="22" t="str">
        <f t="shared" si="5"/>
        <v>Active</v>
      </c>
      <c r="H125" s="23"/>
      <c r="O125" s="68">
        <f t="shared" si="6"/>
        <v>20</v>
      </c>
      <c r="P125" s="68">
        <f>IF(B125="", 0, IFERROR(MIN(C125+D125, VLOOKUP(B125, '💳 Debt Input'!$A:$G, 4, FALSE)), 0))</f>
        <v>480</v>
      </c>
    </row>
    <row r="126" spans="1:16" ht="18" customHeight="1" x14ac:dyDescent="0.35">
      <c r="A126" s="49"/>
      <c r="B126" s="6" t="str">
        <f>'💳 Debt Input'!$A$8</f>
        <v>Travel Card</v>
      </c>
      <c r="C126" s="12">
        <f t="shared" si="7"/>
        <v>6057.46</v>
      </c>
      <c r="D126" s="12">
        <f>ROUND(C126*'💳 Debt Input'!$C$8/12,2)</f>
        <v>90.86</v>
      </c>
      <c r="E126" s="12">
        <f>IF(B126="", "", MIN(C126+D126, MAX(P126, $F$3 - SUMIFS(E$10:E125, O$10:O125, O126) - SUMIFS(P127:P$1995, O127:O$1995, O126))))</f>
        <v>270</v>
      </c>
      <c r="F126" s="12">
        <f t="shared" si="4"/>
        <v>5878.32</v>
      </c>
      <c r="G126" s="22" t="str">
        <f t="shared" si="5"/>
        <v>Active</v>
      </c>
      <c r="H126" s="23"/>
      <c r="O126" s="68">
        <f t="shared" si="6"/>
        <v>20</v>
      </c>
      <c r="P126" s="68">
        <f>IF(B126="", 0, IFERROR(MIN(C126+D126, VLOOKUP(B126, '💳 Debt Input'!$A:$G, 4, FALSE)), 0))</f>
        <v>270</v>
      </c>
    </row>
    <row r="127" spans="1:16" ht="18" customHeight="1" x14ac:dyDescent="0.35">
      <c r="A127" s="49"/>
      <c r="B127" s="6" t="str">
        <f>'💳 Debt Input'!$A$7</f>
        <v>Auto Loan</v>
      </c>
      <c r="C127" s="12">
        <f t="shared" si="7"/>
        <v>2223.79</v>
      </c>
      <c r="D127" s="12">
        <f>ROUND(C127*'💳 Debt Input'!$C$7/12,2)</f>
        <v>18.53</v>
      </c>
      <c r="E127" s="12">
        <f>IF(B127="", "", MIN(C127+D127, MAX(P127, $F$3 - SUMIFS(E$10:E126, O$10:O126, O127) - SUMIFS(P128:P$1995, O128:O$1995, O127))))</f>
        <v>120</v>
      </c>
      <c r="F127" s="12">
        <f t="shared" si="4"/>
        <v>2122.3200000000002</v>
      </c>
      <c r="G127" s="22" t="str">
        <f t="shared" si="5"/>
        <v>Active</v>
      </c>
      <c r="H127" s="23"/>
      <c r="O127" s="68">
        <f t="shared" si="6"/>
        <v>20</v>
      </c>
      <c r="P127" s="68">
        <f>IF(B127="", 0, IFERROR(MIN(C127+D127, VLOOKUP(B127, '💳 Debt Input'!$A:$G, 4, FALSE)), 0))</f>
        <v>120</v>
      </c>
    </row>
    <row r="128" spans="1:16" ht="18" customHeight="1" x14ac:dyDescent="0.35">
      <c r="A128" s="49"/>
      <c r="B128" s="6" t="str">
        <f>'💳 Debt Input'!$A$6</f>
        <v>Personal Loan</v>
      </c>
      <c r="C128" s="12">
        <f t="shared" si="7"/>
        <v>853.93</v>
      </c>
      <c r="D128" s="12">
        <f>ROUND(C128*'💳 Debt Input'!$C$6/12,2)</f>
        <v>4.2699999999999996</v>
      </c>
      <c r="E128" s="12">
        <f>IF(B128="", "", MIN(C128+D128, MAX(P128, $F$3 - SUMIFS(E$10:E127, O$10:O127, O128) - SUMIFS(P129:P$1995, O129:O$1995, O128))))</f>
        <v>40</v>
      </c>
      <c r="F128" s="12">
        <f t="shared" si="4"/>
        <v>818.2</v>
      </c>
      <c r="G128" s="22" t="str">
        <f t="shared" si="5"/>
        <v>Active</v>
      </c>
      <c r="H128" s="23"/>
      <c r="O128" s="68">
        <f t="shared" si="6"/>
        <v>20</v>
      </c>
      <c r="P128" s="68">
        <f>IF(B128="", 0, IFERROR(MIN(C128+D128, VLOOKUP(B128, '💳 Debt Input'!$A:$G, 4, FALSE)), 0))</f>
        <v>40</v>
      </c>
    </row>
    <row r="129" spans="1:16" ht="18" customHeight="1" x14ac:dyDescent="0.35">
      <c r="A129" s="49"/>
      <c r="B129" s="6" t="str">
        <f>'💳 Debt Input'!$A$5</f>
        <v>Medical Bill</v>
      </c>
      <c r="C129" s="12">
        <f t="shared" si="7"/>
        <v>43.14</v>
      </c>
      <c r="D129" s="12">
        <f>ROUND(C129*'💳 Debt Input'!$C$5/12,2)</f>
        <v>0.14000000000000001</v>
      </c>
      <c r="E129" s="12">
        <f>IF(B129="", "", MIN(C129+D129, MAX(P129, $F$3 - SUMIFS(E$10:E128, O$10:O128, O129) - SUMIFS(P130:P$1995, O130:O$1995, O129))))</f>
        <v>25</v>
      </c>
      <c r="F129" s="12">
        <f t="shared" si="4"/>
        <v>18.28</v>
      </c>
      <c r="G129" s="22" t="str">
        <f t="shared" si="5"/>
        <v>Active</v>
      </c>
      <c r="H129" s="23"/>
      <c r="O129" s="68">
        <f t="shared" si="6"/>
        <v>20</v>
      </c>
      <c r="P129" s="68">
        <f>IF(B129="", 0, IFERROR(MIN(C129+D129, VLOOKUP(B129, '💳 Debt Input'!$A:$G, 4, FALSE)), 0))</f>
        <v>25</v>
      </c>
    </row>
    <row r="130" spans="1:16" ht="18" customHeight="1" x14ac:dyDescent="0.35">
      <c r="A130" s="52"/>
      <c r="B130" s="26" t="str">
        <f>'💳 Debt Input'!$A$4</f>
        <v>Store Card</v>
      </c>
      <c r="C130" s="27">
        <f t="shared" si="7"/>
        <v>0</v>
      </c>
      <c r="D130" s="27">
        <f>ROUND(C130*'💳 Debt Input'!$C$4/12,2)</f>
        <v>0</v>
      </c>
      <c r="E130" s="27">
        <f>IF(B130="", "", MIN(C130+D130, MAX(P130, $F$3 - SUMIFS(E$10:E129, O$10:O129, O130) - SUMIFS(P131:P$1995, O131:O$1995, O130))))</f>
        <v>0</v>
      </c>
      <c r="F130" s="27">
        <f t="shared" si="4"/>
        <v>0</v>
      </c>
      <c r="G130" s="28" t="str">
        <f t="shared" si="5"/>
        <v>Paid off</v>
      </c>
      <c r="H130" s="29"/>
      <c r="O130" s="68">
        <f t="shared" si="6"/>
        <v>20</v>
      </c>
      <c r="P130" s="68">
        <f>IF(B130="", 0, IFERROR(MIN(C130+D130, VLOOKUP(B130, '💳 Debt Input'!$A:$G, 4, FALSE)), 0))</f>
        <v>0</v>
      </c>
    </row>
    <row r="131" spans="1:16" ht="18" customHeight="1" x14ac:dyDescent="0.35">
      <c r="A131" s="50">
        <v>21</v>
      </c>
      <c r="B131" s="8" t="str">
        <f>'💳 Debt Input'!$A$9</f>
        <v>Rewards Visa</v>
      </c>
      <c r="C131" s="10">
        <f t="shared" si="7"/>
        <v>15648.39</v>
      </c>
      <c r="D131" s="10">
        <f>ROUND(C131*'💳 Debt Input'!$C$9/12,2)</f>
        <v>469.45</v>
      </c>
      <c r="E131" s="10">
        <f>IF(B131="", "", MIN(C131+D131, MAX(P131, $F$3 - SUMIFS(E$10:E130, O$10:O130, O131) - SUMIFS(P132:P$1995, O132:O$1995, O131))))</f>
        <v>511.66</v>
      </c>
      <c r="F131" s="10">
        <f t="shared" si="4"/>
        <v>15606.18</v>
      </c>
      <c r="G131" s="19" t="str">
        <f t="shared" si="5"/>
        <v>Active</v>
      </c>
      <c r="H131" s="20"/>
      <c r="O131" s="68">
        <f t="shared" si="6"/>
        <v>21</v>
      </c>
      <c r="P131" s="68">
        <f>IF(B131="", 0, IFERROR(MIN(C131+D131, VLOOKUP(B131, '💳 Debt Input'!$A:$G, 4, FALSE)), 0))</f>
        <v>480</v>
      </c>
    </row>
    <row r="132" spans="1:16" ht="18" customHeight="1" x14ac:dyDescent="0.35">
      <c r="A132" s="47"/>
      <c r="B132" s="8" t="str">
        <f>'💳 Debt Input'!$A$8</f>
        <v>Travel Card</v>
      </c>
      <c r="C132" s="10">
        <f t="shared" si="7"/>
        <v>5878.32</v>
      </c>
      <c r="D132" s="10">
        <f>ROUND(C132*'💳 Debt Input'!$C$8/12,2)</f>
        <v>88.17</v>
      </c>
      <c r="E132" s="10">
        <f>IF(B132="", "", MIN(C132+D132, MAX(P132, $F$3 - SUMIFS(E$10:E131, O$10:O131, O132) - SUMIFS(P133:P$1995, O133:O$1995, O132))))</f>
        <v>270</v>
      </c>
      <c r="F132" s="10">
        <f t="shared" si="4"/>
        <v>5696.49</v>
      </c>
      <c r="G132" s="19" t="str">
        <f t="shared" si="5"/>
        <v>Active</v>
      </c>
      <c r="H132" s="20"/>
      <c r="O132" s="68">
        <f t="shared" si="6"/>
        <v>21</v>
      </c>
      <c r="P132" s="68">
        <f>IF(B132="", 0, IFERROR(MIN(C132+D132, VLOOKUP(B132, '💳 Debt Input'!$A:$G, 4, FALSE)), 0))</f>
        <v>270</v>
      </c>
    </row>
    <row r="133" spans="1:16" ht="18" customHeight="1" x14ac:dyDescent="0.35">
      <c r="A133" s="47"/>
      <c r="B133" s="8" t="str">
        <f>'💳 Debt Input'!$A$7</f>
        <v>Auto Loan</v>
      </c>
      <c r="C133" s="10">
        <f t="shared" si="7"/>
        <v>2122.3200000000002</v>
      </c>
      <c r="D133" s="10">
        <f>ROUND(C133*'💳 Debt Input'!$C$7/12,2)</f>
        <v>17.690000000000001</v>
      </c>
      <c r="E133" s="10">
        <f>IF(B133="", "", MIN(C133+D133, MAX(P133, $F$3 - SUMIFS(E$10:E132, O$10:O132, O133) - SUMIFS(P134:P$1995, O134:O$1995, O133))))</f>
        <v>120</v>
      </c>
      <c r="F133" s="10">
        <f t="shared" si="4"/>
        <v>2020.01</v>
      </c>
      <c r="G133" s="19" t="str">
        <f t="shared" si="5"/>
        <v>Active</v>
      </c>
      <c r="H133" s="20"/>
      <c r="O133" s="68">
        <f t="shared" si="6"/>
        <v>21</v>
      </c>
      <c r="P133" s="68">
        <f>IF(B133="", 0, IFERROR(MIN(C133+D133, VLOOKUP(B133, '💳 Debt Input'!$A:$G, 4, FALSE)), 0))</f>
        <v>120</v>
      </c>
    </row>
    <row r="134" spans="1:16" ht="18" customHeight="1" x14ac:dyDescent="0.35">
      <c r="A134" s="47"/>
      <c r="B134" s="8" t="str">
        <f>'💳 Debt Input'!$A$6</f>
        <v>Personal Loan</v>
      </c>
      <c r="C134" s="10">
        <f t="shared" si="7"/>
        <v>818.2</v>
      </c>
      <c r="D134" s="10">
        <f>ROUND(C134*'💳 Debt Input'!$C$6/12,2)</f>
        <v>4.09</v>
      </c>
      <c r="E134" s="10">
        <f>IF(B134="", "", MIN(C134+D134, MAX(P134, $F$3 - SUMIFS(E$10:E133, O$10:O133, O134) - SUMIFS(P135:P$1995, O135:O$1995, O134))))</f>
        <v>40</v>
      </c>
      <c r="F134" s="10">
        <f t="shared" si="4"/>
        <v>782.29</v>
      </c>
      <c r="G134" s="19" t="str">
        <f t="shared" si="5"/>
        <v>Active</v>
      </c>
      <c r="H134" s="20"/>
      <c r="O134" s="68">
        <f t="shared" si="6"/>
        <v>21</v>
      </c>
      <c r="P134" s="68">
        <f>IF(B134="", 0, IFERROR(MIN(C134+D134, VLOOKUP(B134, '💳 Debt Input'!$A:$G, 4, FALSE)), 0))</f>
        <v>40</v>
      </c>
    </row>
    <row r="135" spans="1:16" ht="18" customHeight="1" x14ac:dyDescent="0.35">
      <c r="A135" s="52"/>
      <c r="B135" s="26" t="str">
        <f>'💳 Debt Input'!$A$5</f>
        <v>Medical Bill</v>
      </c>
      <c r="C135" s="27">
        <f t="shared" si="7"/>
        <v>18.28</v>
      </c>
      <c r="D135" s="27">
        <f>ROUND(C135*'💳 Debt Input'!$C$5/12,2)</f>
        <v>0.06</v>
      </c>
      <c r="E135" s="27">
        <f>IF(B135="", "", MIN(C135+D135, MAX(P135, $F$3 - SUMIFS(E$10:E134, O$10:O134, O135) - SUMIFS(P136:P$1995, O136:O$1995, O135))))</f>
        <v>18.34</v>
      </c>
      <c r="F135" s="27">
        <f t="shared" si="4"/>
        <v>0</v>
      </c>
      <c r="G135" s="28" t="str">
        <f t="shared" si="5"/>
        <v>Paid off</v>
      </c>
      <c r="H135" s="26"/>
      <c r="O135" s="68">
        <f t="shared" si="6"/>
        <v>21</v>
      </c>
      <c r="P135" s="68">
        <f>IF(B135="", 0, IFERROR(MIN(C135+D135, VLOOKUP(B135, '💳 Debt Input'!$A:$G, 4, FALSE)), 0))</f>
        <v>18.34</v>
      </c>
    </row>
    <row r="136" spans="1:16" ht="18" customHeight="1" x14ac:dyDescent="0.35">
      <c r="A136" s="52"/>
      <c r="B136" s="26" t="str">
        <f>'💳 Debt Input'!$A$4</f>
        <v>Store Card</v>
      </c>
      <c r="C136" s="27">
        <f t="shared" si="7"/>
        <v>0</v>
      </c>
      <c r="D136" s="27">
        <f>ROUND(C136*'💳 Debt Input'!$C$4/12,2)</f>
        <v>0</v>
      </c>
      <c r="E136" s="27">
        <f>IF(B136="", "", MIN(C136+D136, MAX(P136, $F$3 - SUMIFS(E$10:E135, O$10:O135, O136) - SUMIFS(P137:P$1995, O137:O$1995, O136))))</f>
        <v>0</v>
      </c>
      <c r="F136" s="27">
        <f t="shared" si="4"/>
        <v>0</v>
      </c>
      <c r="G136" s="28" t="str">
        <f t="shared" si="5"/>
        <v>Paid off</v>
      </c>
      <c r="H136" s="29"/>
      <c r="O136" s="68">
        <f t="shared" si="6"/>
        <v>21</v>
      </c>
      <c r="P136" s="68">
        <f>IF(B136="", 0, IFERROR(MIN(C136+D136, VLOOKUP(B136, '💳 Debt Input'!$A:$G, 4, FALSE)), 0))</f>
        <v>0</v>
      </c>
    </row>
    <row r="137" spans="1:16" ht="18" customHeight="1" x14ac:dyDescent="0.35">
      <c r="A137" s="48">
        <v>22</v>
      </c>
      <c r="B137" s="6" t="str">
        <f>'💳 Debt Input'!$A$9</f>
        <v>Rewards Visa</v>
      </c>
      <c r="C137" s="12">
        <f t="shared" si="7"/>
        <v>15606.18</v>
      </c>
      <c r="D137" s="12">
        <f>ROUND(C137*'💳 Debt Input'!$C$9/12,2)</f>
        <v>468.19</v>
      </c>
      <c r="E137" s="12">
        <f>IF(B137="", "", MIN(C137+D137, MAX(P137, $F$3 - SUMIFS(E$10:E136, O$10:O136, O137) - SUMIFS(P138:P$1995, O138:O$1995, O137))))</f>
        <v>530</v>
      </c>
      <c r="F137" s="12">
        <f t="shared" si="4"/>
        <v>15544.37</v>
      </c>
      <c r="G137" s="22" t="str">
        <f t="shared" si="5"/>
        <v>Active</v>
      </c>
      <c r="H137" s="23"/>
      <c r="O137" s="68">
        <f t="shared" si="6"/>
        <v>22</v>
      </c>
      <c r="P137" s="68">
        <f>IF(B137="", 0, IFERROR(MIN(C137+D137, VLOOKUP(B137, '💳 Debt Input'!$A:$G, 4, FALSE)), 0))</f>
        <v>480</v>
      </c>
    </row>
    <row r="138" spans="1:16" ht="18" customHeight="1" x14ac:dyDescent="0.35">
      <c r="A138" s="49"/>
      <c r="B138" s="6" t="str">
        <f>'💳 Debt Input'!$A$8</f>
        <v>Travel Card</v>
      </c>
      <c r="C138" s="12">
        <f t="shared" si="7"/>
        <v>5696.49</v>
      </c>
      <c r="D138" s="12">
        <f>ROUND(C138*'💳 Debt Input'!$C$8/12,2)</f>
        <v>85.45</v>
      </c>
      <c r="E138" s="12">
        <f>IF(B138="", "", MIN(C138+D138, MAX(P138, $F$3 - SUMIFS(E$10:E137, O$10:O137, O138) - SUMIFS(P139:P$1995, O139:O$1995, O138))))</f>
        <v>270</v>
      </c>
      <c r="F138" s="12">
        <f t="shared" si="4"/>
        <v>5511.94</v>
      </c>
      <c r="G138" s="22" t="str">
        <f t="shared" si="5"/>
        <v>Active</v>
      </c>
      <c r="H138" s="23"/>
      <c r="O138" s="68">
        <f t="shared" si="6"/>
        <v>22</v>
      </c>
      <c r="P138" s="68">
        <f>IF(B138="", 0, IFERROR(MIN(C138+D138, VLOOKUP(B138, '💳 Debt Input'!$A:$G, 4, FALSE)), 0))</f>
        <v>270</v>
      </c>
    </row>
    <row r="139" spans="1:16" ht="18" customHeight="1" x14ac:dyDescent="0.35">
      <c r="A139" s="49"/>
      <c r="B139" s="6" t="str">
        <f>'💳 Debt Input'!$A$7</f>
        <v>Auto Loan</v>
      </c>
      <c r="C139" s="12">
        <f t="shared" si="7"/>
        <v>2020.01</v>
      </c>
      <c r="D139" s="12">
        <f>ROUND(C139*'💳 Debt Input'!$C$7/12,2)</f>
        <v>16.829999999999998</v>
      </c>
      <c r="E139" s="12">
        <f>IF(B139="", "", MIN(C139+D139, MAX(P139, $F$3 - SUMIFS(E$10:E138, O$10:O138, O139) - SUMIFS(P140:P$1995, O140:O$1995, O139))))</f>
        <v>120</v>
      </c>
      <c r="F139" s="12">
        <f t="shared" ref="F139:F202" si="8">ROUND(MAX(0,C139+D139-E139),2)</f>
        <v>1916.84</v>
      </c>
      <c r="G139" s="22" t="str">
        <f t="shared" ref="G139:G202" si="9">IF(F139=0,"Paid off","Active")</f>
        <v>Active</v>
      </c>
      <c r="H139" s="23"/>
      <c r="O139" s="68">
        <f t="shared" ref="O139:O202" si="10">IF(A139&lt;&gt;"", A139, O138)</f>
        <v>22</v>
      </c>
      <c r="P139" s="68">
        <f>IF(B139="", 0, IFERROR(MIN(C139+D139, VLOOKUP(B139, '💳 Debt Input'!$A:$G, 4, FALSE)), 0))</f>
        <v>120</v>
      </c>
    </row>
    <row r="140" spans="1:16" ht="18" customHeight="1" x14ac:dyDescent="0.35">
      <c r="A140" s="49"/>
      <c r="B140" s="6" t="str">
        <f>'💳 Debt Input'!$A$6</f>
        <v>Personal Loan</v>
      </c>
      <c r="C140" s="12">
        <f t="shared" si="7"/>
        <v>782.29</v>
      </c>
      <c r="D140" s="12">
        <f>ROUND(C140*'💳 Debt Input'!$C$6/12,2)</f>
        <v>3.91</v>
      </c>
      <c r="E140" s="12">
        <f>IF(B140="", "", MIN(C140+D140, MAX(P140, $F$3 - SUMIFS(E$10:E139, O$10:O139, O140) - SUMIFS(P141:P$1995, O141:O$1995, O140))))</f>
        <v>40</v>
      </c>
      <c r="F140" s="12">
        <f t="shared" si="8"/>
        <v>746.2</v>
      </c>
      <c r="G140" s="22" t="str">
        <f t="shared" si="9"/>
        <v>Active</v>
      </c>
      <c r="H140" s="23"/>
      <c r="O140" s="68">
        <f t="shared" si="10"/>
        <v>22</v>
      </c>
      <c r="P140" s="68">
        <f>IF(B140="", 0, IFERROR(MIN(C140+D140, VLOOKUP(B140, '💳 Debt Input'!$A:$G, 4, FALSE)), 0))</f>
        <v>40</v>
      </c>
    </row>
    <row r="141" spans="1:16" ht="18" customHeight="1" x14ac:dyDescent="0.35">
      <c r="A141" s="52"/>
      <c r="B141" s="26" t="str">
        <f>'💳 Debt Input'!$A$5</f>
        <v>Medical Bill</v>
      </c>
      <c r="C141" s="27">
        <f t="shared" si="7"/>
        <v>0</v>
      </c>
      <c r="D141" s="27">
        <f>ROUND(C141*'💳 Debt Input'!$C$5/12,2)</f>
        <v>0</v>
      </c>
      <c r="E141" s="27">
        <f>IF(B141="", "", MIN(C141+D141, MAX(P141, $F$3 - SUMIFS(E$10:E140, O$10:O140, O141) - SUMIFS(P142:P$1995, O142:O$1995, O141))))</f>
        <v>0</v>
      </c>
      <c r="F141" s="27">
        <f t="shared" si="8"/>
        <v>0</v>
      </c>
      <c r="G141" s="28" t="str">
        <f t="shared" si="9"/>
        <v>Paid off</v>
      </c>
      <c r="H141" s="29"/>
      <c r="O141" s="68">
        <f t="shared" si="10"/>
        <v>22</v>
      </c>
      <c r="P141" s="68">
        <f>IF(B141="", 0, IFERROR(MIN(C141+D141, VLOOKUP(B141, '💳 Debt Input'!$A:$G, 4, FALSE)), 0))</f>
        <v>0</v>
      </c>
    </row>
    <row r="142" spans="1:16" ht="18" customHeight="1" x14ac:dyDescent="0.35">
      <c r="A142" s="52"/>
      <c r="B142" s="26" t="str">
        <f>'💳 Debt Input'!$A$4</f>
        <v>Store Card</v>
      </c>
      <c r="C142" s="27">
        <f t="shared" si="7"/>
        <v>0</v>
      </c>
      <c r="D142" s="27">
        <f>ROUND(C142*'💳 Debt Input'!$C$4/12,2)</f>
        <v>0</v>
      </c>
      <c r="E142" s="27">
        <f>IF(B142="", "", MIN(C142+D142, MAX(P142, $F$3 - SUMIFS(E$10:E141, O$10:O141, O142) - SUMIFS(P143:P$1995, O143:O$1995, O142))))</f>
        <v>0</v>
      </c>
      <c r="F142" s="27">
        <f t="shared" si="8"/>
        <v>0</v>
      </c>
      <c r="G142" s="28" t="str">
        <f t="shared" si="9"/>
        <v>Paid off</v>
      </c>
      <c r="H142" s="29"/>
      <c r="O142" s="68">
        <f t="shared" si="10"/>
        <v>22</v>
      </c>
      <c r="P142" s="68">
        <f>IF(B142="", 0, IFERROR(MIN(C142+D142, VLOOKUP(B142, '💳 Debt Input'!$A:$G, 4, FALSE)), 0))</f>
        <v>0</v>
      </c>
    </row>
    <row r="143" spans="1:16" ht="18" customHeight="1" x14ac:dyDescent="0.35">
      <c r="A143" s="50">
        <v>23</v>
      </c>
      <c r="B143" s="8" t="str">
        <f>'💳 Debt Input'!$A$9</f>
        <v>Rewards Visa</v>
      </c>
      <c r="C143" s="10">
        <f t="shared" si="7"/>
        <v>15544.37</v>
      </c>
      <c r="D143" s="10">
        <f>ROUND(C143*'💳 Debt Input'!$C$9/12,2)</f>
        <v>466.33</v>
      </c>
      <c r="E143" s="10">
        <f>IF(B143="", "", MIN(C143+D143, MAX(P143, $F$3 - SUMIFS(E$10:E142, O$10:O142, O143) - SUMIFS(P144:P$1995, O144:O$1995, O143))))</f>
        <v>530</v>
      </c>
      <c r="F143" s="10">
        <f t="shared" si="8"/>
        <v>15480.7</v>
      </c>
      <c r="G143" s="19" t="str">
        <f t="shared" si="9"/>
        <v>Active</v>
      </c>
      <c r="H143" s="20"/>
      <c r="O143" s="68">
        <f t="shared" si="10"/>
        <v>23</v>
      </c>
      <c r="P143" s="68">
        <f>IF(B143="", 0, IFERROR(MIN(C143+D143, VLOOKUP(B143, '💳 Debt Input'!$A:$G, 4, FALSE)), 0))</f>
        <v>480</v>
      </c>
    </row>
    <row r="144" spans="1:16" ht="18" customHeight="1" x14ac:dyDescent="0.35">
      <c r="A144" s="47"/>
      <c r="B144" s="8" t="str">
        <f>'💳 Debt Input'!$A$8</f>
        <v>Travel Card</v>
      </c>
      <c r="C144" s="10">
        <f t="shared" si="7"/>
        <v>5511.94</v>
      </c>
      <c r="D144" s="10">
        <f>ROUND(C144*'💳 Debt Input'!$C$8/12,2)</f>
        <v>82.68</v>
      </c>
      <c r="E144" s="10">
        <f>IF(B144="", "", MIN(C144+D144, MAX(P144, $F$3 - SUMIFS(E$10:E143, O$10:O143, O144) - SUMIFS(P145:P$1995, O145:O$1995, O144))))</f>
        <v>270</v>
      </c>
      <c r="F144" s="10">
        <f t="shared" si="8"/>
        <v>5324.62</v>
      </c>
      <c r="G144" s="19" t="str">
        <f t="shared" si="9"/>
        <v>Active</v>
      </c>
      <c r="H144" s="20"/>
      <c r="O144" s="68">
        <f t="shared" si="10"/>
        <v>23</v>
      </c>
      <c r="P144" s="68">
        <f>IF(B144="", 0, IFERROR(MIN(C144+D144, VLOOKUP(B144, '💳 Debt Input'!$A:$G, 4, FALSE)), 0))</f>
        <v>270</v>
      </c>
    </row>
    <row r="145" spans="1:16" ht="18" customHeight="1" x14ac:dyDescent="0.35">
      <c r="A145" s="47"/>
      <c r="B145" s="8" t="str">
        <f>'💳 Debt Input'!$A$7</f>
        <v>Auto Loan</v>
      </c>
      <c r="C145" s="10">
        <f t="shared" ref="C145:C208" si="11">F139</f>
        <v>1916.84</v>
      </c>
      <c r="D145" s="10">
        <f>ROUND(C145*'💳 Debt Input'!$C$7/12,2)</f>
        <v>15.97</v>
      </c>
      <c r="E145" s="10">
        <f>IF(B145="", "", MIN(C145+D145, MAX(P145, $F$3 - SUMIFS(E$10:E144, O$10:O144, O145) - SUMIFS(P146:P$1995, O146:O$1995, O145))))</f>
        <v>120</v>
      </c>
      <c r="F145" s="10">
        <f t="shared" si="8"/>
        <v>1812.81</v>
      </c>
      <c r="G145" s="19" t="str">
        <f t="shared" si="9"/>
        <v>Active</v>
      </c>
      <c r="H145" s="20"/>
      <c r="O145" s="68">
        <f t="shared" si="10"/>
        <v>23</v>
      </c>
      <c r="P145" s="68">
        <f>IF(B145="", 0, IFERROR(MIN(C145+D145, VLOOKUP(B145, '💳 Debt Input'!$A:$G, 4, FALSE)), 0))</f>
        <v>120</v>
      </c>
    </row>
    <row r="146" spans="1:16" ht="18" customHeight="1" x14ac:dyDescent="0.35">
      <c r="A146" s="47"/>
      <c r="B146" s="8" t="str">
        <f>'💳 Debt Input'!$A$6</f>
        <v>Personal Loan</v>
      </c>
      <c r="C146" s="10">
        <f t="shared" si="11"/>
        <v>746.2</v>
      </c>
      <c r="D146" s="10">
        <f>ROUND(C146*'💳 Debt Input'!$C$6/12,2)</f>
        <v>3.73</v>
      </c>
      <c r="E146" s="10">
        <f>IF(B146="", "", MIN(C146+D146, MAX(P146, $F$3 - SUMIFS(E$10:E145, O$10:O145, O146) - SUMIFS(P147:P$1995, O147:O$1995, O146))))</f>
        <v>40</v>
      </c>
      <c r="F146" s="10">
        <f t="shared" si="8"/>
        <v>709.93</v>
      </c>
      <c r="G146" s="19" t="str">
        <f t="shared" si="9"/>
        <v>Active</v>
      </c>
      <c r="H146" s="20"/>
      <c r="O146" s="68">
        <f t="shared" si="10"/>
        <v>23</v>
      </c>
      <c r="P146" s="68">
        <f>IF(B146="", 0, IFERROR(MIN(C146+D146, VLOOKUP(B146, '💳 Debt Input'!$A:$G, 4, FALSE)), 0))</f>
        <v>40</v>
      </c>
    </row>
    <row r="147" spans="1:16" ht="18" customHeight="1" x14ac:dyDescent="0.35">
      <c r="A147" s="52"/>
      <c r="B147" s="26" t="str">
        <f>'💳 Debt Input'!$A$5</f>
        <v>Medical Bill</v>
      </c>
      <c r="C147" s="27">
        <f t="shared" si="11"/>
        <v>0</v>
      </c>
      <c r="D147" s="27">
        <f>ROUND(C147*'💳 Debt Input'!$C$5/12,2)</f>
        <v>0</v>
      </c>
      <c r="E147" s="27">
        <f>IF(B147="", "", MIN(C147+D147, MAX(P147, $F$3 - SUMIFS(E$10:E146, O$10:O146, O147) - SUMIFS(P148:P$1995, O148:O$1995, O147))))</f>
        <v>0</v>
      </c>
      <c r="F147" s="27">
        <f t="shared" si="8"/>
        <v>0</v>
      </c>
      <c r="G147" s="28" t="str">
        <f t="shared" si="9"/>
        <v>Paid off</v>
      </c>
      <c r="H147" s="29"/>
      <c r="O147" s="68">
        <f t="shared" si="10"/>
        <v>23</v>
      </c>
      <c r="P147" s="68">
        <f>IF(B147="", 0, IFERROR(MIN(C147+D147, VLOOKUP(B147, '💳 Debt Input'!$A:$G, 4, FALSE)), 0))</f>
        <v>0</v>
      </c>
    </row>
    <row r="148" spans="1:16" ht="18" customHeight="1" x14ac:dyDescent="0.35">
      <c r="A148" s="52"/>
      <c r="B148" s="26" t="str">
        <f>'💳 Debt Input'!$A$4</f>
        <v>Store Card</v>
      </c>
      <c r="C148" s="27">
        <f t="shared" si="11"/>
        <v>0</v>
      </c>
      <c r="D148" s="27">
        <f>ROUND(C148*'💳 Debt Input'!$C$4/12,2)</f>
        <v>0</v>
      </c>
      <c r="E148" s="27">
        <f>IF(B148="", "", MIN(C148+D148, MAX(P148, $F$3 - SUMIFS(E$10:E147, O$10:O147, O148) - SUMIFS(P149:P$1995, O149:O$1995, O148))))</f>
        <v>0</v>
      </c>
      <c r="F148" s="27">
        <f t="shared" si="8"/>
        <v>0</v>
      </c>
      <c r="G148" s="28" t="str">
        <f t="shared" si="9"/>
        <v>Paid off</v>
      </c>
      <c r="H148" s="29"/>
      <c r="O148" s="68">
        <f t="shared" si="10"/>
        <v>23</v>
      </c>
      <c r="P148" s="68">
        <f>IF(B148="", 0, IFERROR(MIN(C148+D148, VLOOKUP(B148, '💳 Debt Input'!$A:$G, 4, FALSE)), 0))</f>
        <v>0</v>
      </c>
    </row>
    <row r="149" spans="1:16" ht="18" customHeight="1" x14ac:dyDescent="0.35">
      <c r="A149" s="48">
        <v>24</v>
      </c>
      <c r="B149" s="6" t="str">
        <f>'💳 Debt Input'!$A$9</f>
        <v>Rewards Visa</v>
      </c>
      <c r="C149" s="12">
        <f t="shared" si="11"/>
        <v>15480.7</v>
      </c>
      <c r="D149" s="12">
        <f>ROUND(C149*'💳 Debt Input'!$C$9/12,2)</f>
        <v>464.42</v>
      </c>
      <c r="E149" s="12">
        <f>IF(B149="", "", MIN(C149+D149, MAX(P149, $F$3 - SUMIFS(E$10:E148, O$10:O148, O149) - SUMIFS(P150:P$1995, O150:O$1995, O149))))</f>
        <v>530</v>
      </c>
      <c r="F149" s="12">
        <f t="shared" si="8"/>
        <v>15415.12</v>
      </c>
      <c r="G149" s="22" t="str">
        <f t="shared" si="9"/>
        <v>Active</v>
      </c>
      <c r="H149" s="23"/>
      <c r="O149" s="68">
        <f t="shared" si="10"/>
        <v>24</v>
      </c>
      <c r="P149" s="68">
        <f>IF(B149="", 0, IFERROR(MIN(C149+D149, VLOOKUP(B149, '💳 Debt Input'!$A:$G, 4, FALSE)), 0))</f>
        <v>480</v>
      </c>
    </row>
    <row r="150" spans="1:16" ht="18" customHeight="1" x14ac:dyDescent="0.35">
      <c r="A150" s="49"/>
      <c r="B150" s="6" t="str">
        <f>'💳 Debt Input'!$A$8</f>
        <v>Travel Card</v>
      </c>
      <c r="C150" s="12">
        <f t="shared" si="11"/>
        <v>5324.62</v>
      </c>
      <c r="D150" s="12">
        <f>ROUND(C150*'💳 Debt Input'!$C$8/12,2)</f>
        <v>79.87</v>
      </c>
      <c r="E150" s="12">
        <f>IF(B150="", "", MIN(C150+D150, MAX(P150, $F$3 - SUMIFS(E$10:E149, O$10:O149, O150) - SUMIFS(P151:P$1995, O151:O$1995, O150))))</f>
        <v>270</v>
      </c>
      <c r="F150" s="12">
        <f t="shared" si="8"/>
        <v>5134.49</v>
      </c>
      <c r="G150" s="22" t="str">
        <f t="shared" si="9"/>
        <v>Active</v>
      </c>
      <c r="H150" s="23"/>
      <c r="O150" s="68">
        <f t="shared" si="10"/>
        <v>24</v>
      </c>
      <c r="P150" s="68">
        <f>IF(B150="", 0, IFERROR(MIN(C150+D150, VLOOKUP(B150, '💳 Debt Input'!$A:$G, 4, FALSE)), 0))</f>
        <v>270</v>
      </c>
    </row>
    <row r="151" spans="1:16" ht="18" customHeight="1" x14ac:dyDescent="0.35">
      <c r="A151" s="49"/>
      <c r="B151" s="6" t="str">
        <f>'💳 Debt Input'!$A$7</f>
        <v>Auto Loan</v>
      </c>
      <c r="C151" s="12">
        <f t="shared" si="11"/>
        <v>1812.81</v>
      </c>
      <c r="D151" s="12">
        <f>ROUND(C151*'💳 Debt Input'!$C$7/12,2)</f>
        <v>15.11</v>
      </c>
      <c r="E151" s="12">
        <f>IF(B151="", "", MIN(C151+D151, MAX(P151, $F$3 - SUMIFS(E$10:E150, O$10:O150, O151) - SUMIFS(P152:P$1995, O152:O$1995, O151))))</f>
        <v>120</v>
      </c>
      <c r="F151" s="12">
        <f t="shared" si="8"/>
        <v>1707.92</v>
      </c>
      <c r="G151" s="22" t="str">
        <f t="shared" si="9"/>
        <v>Active</v>
      </c>
      <c r="H151" s="23"/>
      <c r="O151" s="68">
        <f t="shared" si="10"/>
        <v>24</v>
      </c>
      <c r="P151" s="68">
        <f>IF(B151="", 0, IFERROR(MIN(C151+D151, VLOOKUP(B151, '💳 Debt Input'!$A:$G, 4, FALSE)), 0))</f>
        <v>120</v>
      </c>
    </row>
    <row r="152" spans="1:16" ht="18" customHeight="1" x14ac:dyDescent="0.35">
      <c r="A152" s="49"/>
      <c r="B152" s="6" t="str">
        <f>'💳 Debt Input'!$A$6</f>
        <v>Personal Loan</v>
      </c>
      <c r="C152" s="12">
        <f t="shared" si="11"/>
        <v>709.93</v>
      </c>
      <c r="D152" s="12">
        <f>ROUND(C152*'💳 Debt Input'!$C$6/12,2)</f>
        <v>3.55</v>
      </c>
      <c r="E152" s="12">
        <f>IF(B152="", "", MIN(C152+D152, MAX(P152, $F$3 - SUMIFS(E$10:E151, O$10:O151, O152) - SUMIFS(P153:P$1995, O153:O$1995, O152))))</f>
        <v>40</v>
      </c>
      <c r="F152" s="12">
        <f t="shared" si="8"/>
        <v>673.48</v>
      </c>
      <c r="G152" s="22" t="str">
        <f t="shared" si="9"/>
        <v>Active</v>
      </c>
      <c r="H152" s="23"/>
      <c r="O152" s="68">
        <f t="shared" si="10"/>
        <v>24</v>
      </c>
      <c r="P152" s="68">
        <f>IF(B152="", 0, IFERROR(MIN(C152+D152, VLOOKUP(B152, '💳 Debt Input'!$A:$G, 4, FALSE)), 0))</f>
        <v>40</v>
      </c>
    </row>
    <row r="153" spans="1:16" ht="18" customHeight="1" x14ac:dyDescent="0.35">
      <c r="A153" s="52"/>
      <c r="B153" s="26" t="str">
        <f>'💳 Debt Input'!$A$5</f>
        <v>Medical Bill</v>
      </c>
      <c r="C153" s="27">
        <f t="shared" si="11"/>
        <v>0</v>
      </c>
      <c r="D153" s="27">
        <f>ROUND(C153*'💳 Debt Input'!$C$5/12,2)</f>
        <v>0</v>
      </c>
      <c r="E153" s="27">
        <f>IF(B153="", "", MIN(C153+D153, MAX(P153, $F$3 - SUMIFS(E$10:E152, O$10:O152, O153) - SUMIFS(P154:P$1995, O154:O$1995, O153))))</f>
        <v>0</v>
      </c>
      <c r="F153" s="27">
        <f t="shared" si="8"/>
        <v>0</v>
      </c>
      <c r="G153" s="28" t="str">
        <f t="shared" si="9"/>
        <v>Paid off</v>
      </c>
      <c r="H153" s="29"/>
      <c r="O153" s="68">
        <f t="shared" si="10"/>
        <v>24</v>
      </c>
      <c r="P153" s="68">
        <f>IF(B153="", 0, IFERROR(MIN(C153+D153, VLOOKUP(B153, '💳 Debt Input'!$A:$G, 4, FALSE)), 0))</f>
        <v>0</v>
      </c>
    </row>
    <row r="154" spans="1:16" ht="18" customHeight="1" x14ac:dyDescent="0.35">
      <c r="A154" s="52"/>
      <c r="B154" s="26" t="str">
        <f>'💳 Debt Input'!$A$4</f>
        <v>Store Card</v>
      </c>
      <c r="C154" s="27">
        <f t="shared" si="11"/>
        <v>0</v>
      </c>
      <c r="D154" s="27">
        <f>ROUND(C154*'💳 Debt Input'!$C$4/12,2)</f>
        <v>0</v>
      </c>
      <c r="E154" s="27">
        <f>IF(B154="", "", MIN(C154+D154, MAX(P154, $F$3 - SUMIFS(E$10:E153, O$10:O153, O154) - SUMIFS(P155:P$1995, O155:O$1995, O154))))</f>
        <v>0</v>
      </c>
      <c r="F154" s="27">
        <f t="shared" si="8"/>
        <v>0</v>
      </c>
      <c r="G154" s="28" t="str">
        <f t="shared" si="9"/>
        <v>Paid off</v>
      </c>
      <c r="H154" s="29"/>
      <c r="O154" s="68">
        <f t="shared" si="10"/>
        <v>24</v>
      </c>
      <c r="P154" s="68">
        <f>IF(B154="", 0, IFERROR(MIN(C154+D154, VLOOKUP(B154, '💳 Debt Input'!$A:$G, 4, FALSE)), 0))</f>
        <v>0</v>
      </c>
    </row>
    <row r="155" spans="1:16" ht="18" customHeight="1" x14ac:dyDescent="0.35">
      <c r="A155" s="50">
        <v>25</v>
      </c>
      <c r="B155" s="8" t="str">
        <f>'💳 Debt Input'!$A$9</f>
        <v>Rewards Visa</v>
      </c>
      <c r="C155" s="10">
        <f t="shared" si="11"/>
        <v>15415.12</v>
      </c>
      <c r="D155" s="10">
        <f>ROUND(C155*'💳 Debt Input'!$C$9/12,2)</f>
        <v>462.45</v>
      </c>
      <c r="E155" s="10">
        <f>IF(B155="", "", MIN(C155+D155, MAX(P155, $F$3 - SUMIFS(E$10:E154, O$10:O154, O155) - SUMIFS(P156:P$1995, O156:O$1995, O155))))</f>
        <v>530</v>
      </c>
      <c r="F155" s="10">
        <f t="shared" si="8"/>
        <v>15347.57</v>
      </c>
      <c r="G155" s="19" t="str">
        <f t="shared" si="9"/>
        <v>Active</v>
      </c>
      <c r="H155" s="20"/>
      <c r="O155" s="68">
        <f t="shared" si="10"/>
        <v>25</v>
      </c>
      <c r="P155" s="68">
        <f>IF(B155="", 0, IFERROR(MIN(C155+D155, VLOOKUP(B155, '💳 Debt Input'!$A:$G, 4, FALSE)), 0))</f>
        <v>480</v>
      </c>
    </row>
    <row r="156" spans="1:16" ht="18" customHeight="1" x14ac:dyDescent="0.35">
      <c r="A156" s="47"/>
      <c r="B156" s="8" t="str">
        <f>'💳 Debt Input'!$A$8</f>
        <v>Travel Card</v>
      </c>
      <c r="C156" s="10">
        <f t="shared" si="11"/>
        <v>5134.49</v>
      </c>
      <c r="D156" s="10">
        <f>ROUND(C156*'💳 Debt Input'!$C$8/12,2)</f>
        <v>77.02</v>
      </c>
      <c r="E156" s="10">
        <f>IF(B156="", "", MIN(C156+D156, MAX(P156, $F$3 - SUMIFS(E$10:E155, O$10:O155, O156) - SUMIFS(P157:P$1995, O157:O$1995, O156))))</f>
        <v>270</v>
      </c>
      <c r="F156" s="10">
        <f t="shared" si="8"/>
        <v>4941.51</v>
      </c>
      <c r="G156" s="19" t="str">
        <f t="shared" si="9"/>
        <v>Active</v>
      </c>
      <c r="H156" s="20"/>
      <c r="O156" s="68">
        <f t="shared" si="10"/>
        <v>25</v>
      </c>
      <c r="P156" s="68">
        <f>IF(B156="", 0, IFERROR(MIN(C156+D156, VLOOKUP(B156, '💳 Debt Input'!$A:$G, 4, FALSE)), 0))</f>
        <v>270</v>
      </c>
    </row>
    <row r="157" spans="1:16" ht="18" customHeight="1" x14ac:dyDescent="0.35">
      <c r="A157" s="47"/>
      <c r="B157" s="8" t="str">
        <f>'💳 Debt Input'!$A$7</f>
        <v>Auto Loan</v>
      </c>
      <c r="C157" s="10">
        <f t="shared" si="11"/>
        <v>1707.92</v>
      </c>
      <c r="D157" s="10">
        <f>ROUND(C157*'💳 Debt Input'!$C$7/12,2)</f>
        <v>14.23</v>
      </c>
      <c r="E157" s="10">
        <f>IF(B157="", "", MIN(C157+D157, MAX(P157, $F$3 - SUMIFS(E$10:E156, O$10:O156, O157) - SUMIFS(P158:P$1995, O158:O$1995, O157))))</f>
        <v>120</v>
      </c>
      <c r="F157" s="10">
        <f t="shared" si="8"/>
        <v>1602.15</v>
      </c>
      <c r="G157" s="19" t="str">
        <f t="shared" si="9"/>
        <v>Active</v>
      </c>
      <c r="H157" s="20"/>
      <c r="O157" s="68">
        <f t="shared" si="10"/>
        <v>25</v>
      </c>
      <c r="P157" s="68">
        <f>IF(B157="", 0, IFERROR(MIN(C157+D157, VLOOKUP(B157, '💳 Debt Input'!$A:$G, 4, FALSE)), 0))</f>
        <v>120</v>
      </c>
    </row>
    <row r="158" spans="1:16" ht="18" customHeight="1" x14ac:dyDescent="0.35">
      <c r="A158" s="47"/>
      <c r="B158" s="8" t="str">
        <f>'💳 Debt Input'!$A$6</f>
        <v>Personal Loan</v>
      </c>
      <c r="C158" s="10">
        <f t="shared" si="11"/>
        <v>673.48</v>
      </c>
      <c r="D158" s="10">
        <f>ROUND(C158*'💳 Debt Input'!$C$6/12,2)</f>
        <v>3.37</v>
      </c>
      <c r="E158" s="10">
        <f>IF(B158="", "", MIN(C158+D158, MAX(P158, $F$3 - SUMIFS(E$10:E157, O$10:O157, O158) - SUMIFS(P159:P$1995, O159:O$1995, O158))))</f>
        <v>40</v>
      </c>
      <c r="F158" s="10">
        <f t="shared" si="8"/>
        <v>636.85</v>
      </c>
      <c r="G158" s="19" t="str">
        <f t="shared" si="9"/>
        <v>Active</v>
      </c>
      <c r="H158" s="20"/>
      <c r="O158" s="68">
        <f t="shared" si="10"/>
        <v>25</v>
      </c>
      <c r="P158" s="68">
        <f>IF(B158="", 0, IFERROR(MIN(C158+D158, VLOOKUP(B158, '💳 Debt Input'!$A:$G, 4, FALSE)), 0))</f>
        <v>40</v>
      </c>
    </row>
    <row r="159" spans="1:16" ht="18" customHeight="1" x14ac:dyDescent="0.35">
      <c r="A159" s="52"/>
      <c r="B159" s="26" t="str">
        <f>'💳 Debt Input'!$A$5</f>
        <v>Medical Bill</v>
      </c>
      <c r="C159" s="27">
        <f t="shared" si="11"/>
        <v>0</v>
      </c>
      <c r="D159" s="27">
        <f>ROUND(C159*'💳 Debt Input'!$C$5/12,2)</f>
        <v>0</v>
      </c>
      <c r="E159" s="27">
        <f>IF(B159="", "", MIN(C159+D159, MAX(P159, $F$3 - SUMIFS(E$10:E158, O$10:O158, O159) - SUMIFS(P160:P$1995, O160:O$1995, O159))))</f>
        <v>0</v>
      </c>
      <c r="F159" s="27">
        <f t="shared" si="8"/>
        <v>0</v>
      </c>
      <c r="G159" s="28" t="str">
        <f t="shared" si="9"/>
        <v>Paid off</v>
      </c>
      <c r="H159" s="29"/>
      <c r="O159" s="68">
        <f t="shared" si="10"/>
        <v>25</v>
      </c>
      <c r="P159" s="68">
        <f>IF(B159="", 0, IFERROR(MIN(C159+D159, VLOOKUP(B159, '💳 Debt Input'!$A:$G, 4, FALSE)), 0))</f>
        <v>0</v>
      </c>
    </row>
    <row r="160" spans="1:16" ht="18" customHeight="1" x14ac:dyDescent="0.35">
      <c r="A160" s="52"/>
      <c r="B160" s="26" t="str">
        <f>'💳 Debt Input'!$A$4</f>
        <v>Store Card</v>
      </c>
      <c r="C160" s="27">
        <f t="shared" si="11"/>
        <v>0</v>
      </c>
      <c r="D160" s="27">
        <f>ROUND(C160*'💳 Debt Input'!$C$4/12,2)</f>
        <v>0</v>
      </c>
      <c r="E160" s="27">
        <f>IF(B160="", "", MIN(C160+D160, MAX(P160, $F$3 - SUMIFS(E$10:E159, O$10:O159, O160) - SUMIFS(P161:P$1995, O161:O$1995, O160))))</f>
        <v>0</v>
      </c>
      <c r="F160" s="27">
        <f t="shared" si="8"/>
        <v>0</v>
      </c>
      <c r="G160" s="28" t="str">
        <f t="shared" si="9"/>
        <v>Paid off</v>
      </c>
      <c r="H160" s="29"/>
      <c r="O160" s="68">
        <f t="shared" si="10"/>
        <v>25</v>
      </c>
      <c r="P160" s="68">
        <f>IF(B160="", 0, IFERROR(MIN(C160+D160, VLOOKUP(B160, '💳 Debt Input'!$A:$G, 4, FALSE)), 0))</f>
        <v>0</v>
      </c>
    </row>
    <row r="161" spans="1:16" ht="18" customHeight="1" x14ac:dyDescent="0.35">
      <c r="A161" s="48">
        <v>26</v>
      </c>
      <c r="B161" s="6" t="str">
        <f>'💳 Debt Input'!$A$9</f>
        <v>Rewards Visa</v>
      </c>
      <c r="C161" s="12">
        <f t="shared" si="11"/>
        <v>15347.57</v>
      </c>
      <c r="D161" s="12">
        <f>ROUND(C161*'💳 Debt Input'!$C$9/12,2)</f>
        <v>460.43</v>
      </c>
      <c r="E161" s="12">
        <f>IF(B161="", "", MIN(C161+D161, MAX(P161, $F$3 - SUMIFS(E$10:E160, O$10:O160, O161) - SUMIFS(P162:P$1995, O162:O$1995, O161))))</f>
        <v>530</v>
      </c>
      <c r="F161" s="12">
        <f t="shared" si="8"/>
        <v>15278</v>
      </c>
      <c r="G161" s="22" t="str">
        <f t="shared" si="9"/>
        <v>Active</v>
      </c>
      <c r="H161" s="23"/>
      <c r="O161" s="68">
        <f t="shared" si="10"/>
        <v>26</v>
      </c>
      <c r="P161" s="68">
        <f>IF(B161="", 0, IFERROR(MIN(C161+D161, VLOOKUP(B161, '💳 Debt Input'!$A:$G, 4, FALSE)), 0))</f>
        <v>480</v>
      </c>
    </row>
    <row r="162" spans="1:16" ht="18" customHeight="1" x14ac:dyDescent="0.35">
      <c r="A162" s="49"/>
      <c r="B162" s="6" t="str">
        <f>'💳 Debt Input'!$A$8</f>
        <v>Travel Card</v>
      </c>
      <c r="C162" s="12">
        <f t="shared" si="11"/>
        <v>4941.51</v>
      </c>
      <c r="D162" s="12">
        <f>ROUND(C162*'💳 Debt Input'!$C$8/12,2)</f>
        <v>74.12</v>
      </c>
      <c r="E162" s="12">
        <f>IF(B162="", "", MIN(C162+D162, MAX(P162, $F$3 - SUMIFS(E$10:E161, O$10:O161, O162) - SUMIFS(P163:P$1995, O163:O$1995, O162))))</f>
        <v>270</v>
      </c>
      <c r="F162" s="12">
        <f t="shared" si="8"/>
        <v>4745.63</v>
      </c>
      <c r="G162" s="22" t="str">
        <f t="shared" si="9"/>
        <v>Active</v>
      </c>
      <c r="H162" s="23"/>
      <c r="O162" s="68">
        <f t="shared" si="10"/>
        <v>26</v>
      </c>
      <c r="P162" s="68">
        <f>IF(B162="", 0, IFERROR(MIN(C162+D162, VLOOKUP(B162, '💳 Debt Input'!$A:$G, 4, FALSE)), 0))</f>
        <v>270</v>
      </c>
    </row>
    <row r="163" spans="1:16" ht="18" customHeight="1" x14ac:dyDescent="0.35">
      <c r="A163" s="49"/>
      <c r="B163" s="6" t="str">
        <f>'💳 Debt Input'!$A$7</f>
        <v>Auto Loan</v>
      </c>
      <c r="C163" s="12">
        <f t="shared" si="11"/>
        <v>1602.15</v>
      </c>
      <c r="D163" s="12">
        <f>ROUND(C163*'💳 Debt Input'!$C$7/12,2)</f>
        <v>13.35</v>
      </c>
      <c r="E163" s="12">
        <f>IF(B163="", "", MIN(C163+D163, MAX(P163, $F$3 - SUMIFS(E$10:E162, O$10:O162, O163) - SUMIFS(P164:P$1995, O164:O$1995, O163))))</f>
        <v>120</v>
      </c>
      <c r="F163" s="12">
        <f t="shared" si="8"/>
        <v>1495.5</v>
      </c>
      <c r="G163" s="22" t="str">
        <f t="shared" si="9"/>
        <v>Active</v>
      </c>
      <c r="H163" s="23"/>
      <c r="O163" s="68">
        <f t="shared" si="10"/>
        <v>26</v>
      </c>
      <c r="P163" s="68">
        <f>IF(B163="", 0, IFERROR(MIN(C163+D163, VLOOKUP(B163, '💳 Debt Input'!$A:$G, 4, FALSE)), 0))</f>
        <v>120</v>
      </c>
    </row>
    <row r="164" spans="1:16" ht="18" customHeight="1" x14ac:dyDescent="0.35">
      <c r="A164" s="49"/>
      <c r="B164" s="6" t="str">
        <f>'💳 Debt Input'!$A$6</f>
        <v>Personal Loan</v>
      </c>
      <c r="C164" s="12">
        <f t="shared" si="11"/>
        <v>636.85</v>
      </c>
      <c r="D164" s="12">
        <f>ROUND(C164*'💳 Debt Input'!$C$6/12,2)</f>
        <v>3.18</v>
      </c>
      <c r="E164" s="12">
        <f>IF(B164="", "", MIN(C164+D164, MAX(P164, $F$3 - SUMIFS(E$10:E163, O$10:O163, O164) - SUMIFS(P165:P$1995, O165:O$1995, O164))))</f>
        <v>40</v>
      </c>
      <c r="F164" s="12">
        <f t="shared" si="8"/>
        <v>600.03</v>
      </c>
      <c r="G164" s="22" t="str">
        <f t="shared" si="9"/>
        <v>Active</v>
      </c>
      <c r="H164" s="23"/>
      <c r="O164" s="68">
        <f t="shared" si="10"/>
        <v>26</v>
      </c>
      <c r="P164" s="68">
        <f>IF(B164="", 0, IFERROR(MIN(C164+D164, VLOOKUP(B164, '💳 Debt Input'!$A:$G, 4, FALSE)), 0))</f>
        <v>40</v>
      </c>
    </row>
    <row r="165" spans="1:16" ht="18" customHeight="1" x14ac:dyDescent="0.35">
      <c r="A165" s="52"/>
      <c r="B165" s="26" t="str">
        <f>'💳 Debt Input'!$A$5</f>
        <v>Medical Bill</v>
      </c>
      <c r="C165" s="27">
        <f t="shared" si="11"/>
        <v>0</v>
      </c>
      <c r="D165" s="27">
        <f>ROUND(C165*'💳 Debt Input'!$C$5/12,2)</f>
        <v>0</v>
      </c>
      <c r="E165" s="27">
        <f>IF(B165="", "", MIN(C165+D165, MAX(P165, $F$3 - SUMIFS(E$10:E164, O$10:O164, O165) - SUMIFS(P166:P$1995, O166:O$1995, O165))))</f>
        <v>0</v>
      </c>
      <c r="F165" s="27">
        <f t="shared" si="8"/>
        <v>0</v>
      </c>
      <c r="G165" s="28" t="str">
        <f t="shared" si="9"/>
        <v>Paid off</v>
      </c>
      <c r="H165" s="29"/>
      <c r="O165" s="68">
        <f t="shared" si="10"/>
        <v>26</v>
      </c>
      <c r="P165" s="68">
        <f>IF(B165="", 0, IFERROR(MIN(C165+D165, VLOOKUP(B165, '💳 Debt Input'!$A:$G, 4, FALSE)), 0))</f>
        <v>0</v>
      </c>
    </row>
    <row r="166" spans="1:16" ht="18" customHeight="1" x14ac:dyDescent="0.35">
      <c r="A166" s="52"/>
      <c r="B166" s="26" t="str">
        <f>'💳 Debt Input'!$A$4</f>
        <v>Store Card</v>
      </c>
      <c r="C166" s="27">
        <f t="shared" si="11"/>
        <v>0</v>
      </c>
      <c r="D166" s="27">
        <f>ROUND(C166*'💳 Debt Input'!$C$4/12,2)</f>
        <v>0</v>
      </c>
      <c r="E166" s="27">
        <f>IF(B166="", "", MIN(C166+D166, MAX(P166, $F$3 - SUMIFS(E$10:E165, O$10:O165, O166) - SUMIFS(P167:P$1995, O167:O$1995, O166))))</f>
        <v>0</v>
      </c>
      <c r="F166" s="27">
        <f t="shared" si="8"/>
        <v>0</v>
      </c>
      <c r="G166" s="28" t="str">
        <f t="shared" si="9"/>
        <v>Paid off</v>
      </c>
      <c r="H166" s="29"/>
      <c r="O166" s="68">
        <f t="shared" si="10"/>
        <v>26</v>
      </c>
      <c r="P166" s="68">
        <f>IF(B166="", 0, IFERROR(MIN(C166+D166, VLOOKUP(B166, '💳 Debt Input'!$A:$G, 4, FALSE)), 0))</f>
        <v>0</v>
      </c>
    </row>
    <row r="167" spans="1:16" ht="18" customHeight="1" x14ac:dyDescent="0.35">
      <c r="A167" s="50">
        <v>27</v>
      </c>
      <c r="B167" s="8" t="str">
        <f>'💳 Debt Input'!$A$9</f>
        <v>Rewards Visa</v>
      </c>
      <c r="C167" s="10">
        <f t="shared" si="11"/>
        <v>15278</v>
      </c>
      <c r="D167" s="10">
        <f>ROUND(C167*'💳 Debt Input'!$C$9/12,2)</f>
        <v>458.34</v>
      </c>
      <c r="E167" s="10">
        <f>IF(B167="", "", MIN(C167+D167, MAX(P167, $F$3 - SUMIFS(E$10:E166, O$10:O166, O167) - SUMIFS(P168:P$1995, O168:O$1995, O167))))</f>
        <v>530</v>
      </c>
      <c r="F167" s="10">
        <f t="shared" si="8"/>
        <v>15206.34</v>
      </c>
      <c r="G167" s="19" t="str">
        <f t="shared" si="9"/>
        <v>Active</v>
      </c>
      <c r="H167" s="20"/>
      <c r="O167" s="68">
        <f t="shared" si="10"/>
        <v>27</v>
      </c>
      <c r="P167" s="68">
        <f>IF(B167="", 0, IFERROR(MIN(C167+D167, VLOOKUP(B167, '💳 Debt Input'!$A:$G, 4, FALSE)), 0))</f>
        <v>480</v>
      </c>
    </row>
    <row r="168" spans="1:16" ht="18" customHeight="1" x14ac:dyDescent="0.35">
      <c r="A168" s="47"/>
      <c r="B168" s="8" t="str">
        <f>'💳 Debt Input'!$A$8</f>
        <v>Travel Card</v>
      </c>
      <c r="C168" s="10">
        <f t="shared" si="11"/>
        <v>4745.63</v>
      </c>
      <c r="D168" s="10">
        <f>ROUND(C168*'💳 Debt Input'!$C$8/12,2)</f>
        <v>71.180000000000007</v>
      </c>
      <c r="E168" s="10">
        <f>IF(B168="", "", MIN(C168+D168, MAX(P168, $F$3 - SUMIFS(E$10:E167, O$10:O167, O168) - SUMIFS(P169:P$1995, O169:O$1995, O168))))</f>
        <v>270</v>
      </c>
      <c r="F168" s="10">
        <f t="shared" si="8"/>
        <v>4546.8100000000004</v>
      </c>
      <c r="G168" s="19" t="str">
        <f t="shared" si="9"/>
        <v>Active</v>
      </c>
      <c r="H168" s="20"/>
      <c r="O168" s="68">
        <f t="shared" si="10"/>
        <v>27</v>
      </c>
      <c r="P168" s="68">
        <f>IF(B168="", 0, IFERROR(MIN(C168+D168, VLOOKUP(B168, '💳 Debt Input'!$A:$G, 4, FALSE)), 0))</f>
        <v>270</v>
      </c>
    </row>
    <row r="169" spans="1:16" ht="18" customHeight="1" x14ac:dyDescent="0.35">
      <c r="A169" s="47"/>
      <c r="B169" s="8" t="str">
        <f>'💳 Debt Input'!$A$7</f>
        <v>Auto Loan</v>
      </c>
      <c r="C169" s="10">
        <f t="shared" si="11"/>
        <v>1495.5</v>
      </c>
      <c r="D169" s="10">
        <f>ROUND(C169*'💳 Debt Input'!$C$7/12,2)</f>
        <v>12.46</v>
      </c>
      <c r="E169" s="10">
        <f>IF(B169="", "", MIN(C169+D169, MAX(P169, $F$3 - SUMIFS(E$10:E168, O$10:O168, O169) - SUMIFS(P170:P$1995, O170:O$1995, O169))))</f>
        <v>120</v>
      </c>
      <c r="F169" s="10">
        <f t="shared" si="8"/>
        <v>1387.96</v>
      </c>
      <c r="G169" s="19" t="str">
        <f t="shared" si="9"/>
        <v>Active</v>
      </c>
      <c r="H169" s="20"/>
      <c r="O169" s="68">
        <f t="shared" si="10"/>
        <v>27</v>
      </c>
      <c r="P169" s="68">
        <f>IF(B169="", 0, IFERROR(MIN(C169+D169, VLOOKUP(B169, '💳 Debt Input'!$A:$G, 4, FALSE)), 0))</f>
        <v>120</v>
      </c>
    </row>
    <row r="170" spans="1:16" ht="18" customHeight="1" x14ac:dyDescent="0.35">
      <c r="A170" s="47"/>
      <c r="B170" s="8" t="str">
        <f>'💳 Debt Input'!$A$6</f>
        <v>Personal Loan</v>
      </c>
      <c r="C170" s="10">
        <f t="shared" si="11"/>
        <v>600.03</v>
      </c>
      <c r="D170" s="10">
        <f>ROUND(C170*'💳 Debt Input'!$C$6/12,2)</f>
        <v>3</v>
      </c>
      <c r="E170" s="10">
        <f>IF(B170="", "", MIN(C170+D170, MAX(P170, $F$3 - SUMIFS(E$10:E169, O$10:O169, O170) - SUMIFS(P171:P$1995, O171:O$1995, O170))))</f>
        <v>40</v>
      </c>
      <c r="F170" s="10">
        <f t="shared" si="8"/>
        <v>563.03</v>
      </c>
      <c r="G170" s="19" t="str">
        <f t="shared" si="9"/>
        <v>Active</v>
      </c>
      <c r="H170" s="20"/>
      <c r="O170" s="68">
        <f t="shared" si="10"/>
        <v>27</v>
      </c>
      <c r="P170" s="68">
        <f>IF(B170="", 0, IFERROR(MIN(C170+D170, VLOOKUP(B170, '💳 Debt Input'!$A:$G, 4, FALSE)), 0))</f>
        <v>40</v>
      </c>
    </row>
    <row r="171" spans="1:16" ht="18" customHeight="1" x14ac:dyDescent="0.35">
      <c r="A171" s="52"/>
      <c r="B171" s="26" t="str">
        <f>'💳 Debt Input'!$A$5</f>
        <v>Medical Bill</v>
      </c>
      <c r="C171" s="27">
        <f t="shared" si="11"/>
        <v>0</v>
      </c>
      <c r="D171" s="27">
        <f>ROUND(C171*'💳 Debt Input'!$C$5/12,2)</f>
        <v>0</v>
      </c>
      <c r="E171" s="27">
        <f>IF(B171="", "", MIN(C171+D171, MAX(P171, $F$3 - SUMIFS(E$10:E170, O$10:O170, O171) - SUMIFS(P172:P$1995, O172:O$1995, O171))))</f>
        <v>0</v>
      </c>
      <c r="F171" s="27">
        <f t="shared" si="8"/>
        <v>0</v>
      </c>
      <c r="G171" s="28" t="str">
        <f t="shared" si="9"/>
        <v>Paid off</v>
      </c>
      <c r="H171" s="29"/>
      <c r="O171" s="68">
        <f t="shared" si="10"/>
        <v>27</v>
      </c>
      <c r="P171" s="68">
        <f>IF(B171="", 0, IFERROR(MIN(C171+D171, VLOOKUP(B171, '💳 Debt Input'!$A:$G, 4, FALSE)), 0))</f>
        <v>0</v>
      </c>
    </row>
    <row r="172" spans="1:16" ht="18" customHeight="1" x14ac:dyDescent="0.35">
      <c r="A172" s="52"/>
      <c r="B172" s="26" t="str">
        <f>'💳 Debt Input'!$A$4</f>
        <v>Store Card</v>
      </c>
      <c r="C172" s="27">
        <f t="shared" si="11"/>
        <v>0</v>
      </c>
      <c r="D172" s="27">
        <f>ROUND(C172*'💳 Debt Input'!$C$4/12,2)</f>
        <v>0</v>
      </c>
      <c r="E172" s="27">
        <f>IF(B172="", "", MIN(C172+D172, MAX(P172, $F$3 - SUMIFS(E$10:E171, O$10:O171, O172) - SUMIFS(P173:P$1995, O173:O$1995, O172))))</f>
        <v>0</v>
      </c>
      <c r="F172" s="27">
        <f t="shared" si="8"/>
        <v>0</v>
      </c>
      <c r="G172" s="28" t="str">
        <f t="shared" si="9"/>
        <v>Paid off</v>
      </c>
      <c r="H172" s="29"/>
      <c r="O172" s="68">
        <f t="shared" si="10"/>
        <v>27</v>
      </c>
      <c r="P172" s="68">
        <f>IF(B172="", 0, IFERROR(MIN(C172+D172, VLOOKUP(B172, '💳 Debt Input'!$A:$G, 4, FALSE)), 0))</f>
        <v>0</v>
      </c>
    </row>
    <row r="173" spans="1:16" ht="18" customHeight="1" x14ac:dyDescent="0.35">
      <c r="A173" s="48">
        <v>28</v>
      </c>
      <c r="B173" s="6" t="str">
        <f>'💳 Debt Input'!$A$9</f>
        <v>Rewards Visa</v>
      </c>
      <c r="C173" s="12">
        <f t="shared" si="11"/>
        <v>15206.34</v>
      </c>
      <c r="D173" s="12">
        <f>ROUND(C173*'💳 Debt Input'!$C$9/12,2)</f>
        <v>456.19</v>
      </c>
      <c r="E173" s="12">
        <f>IF(B173="", "", MIN(C173+D173, MAX(P173, $F$3 - SUMIFS(E$10:E172, O$10:O172, O173) - SUMIFS(P174:P$1995, O174:O$1995, O173))))</f>
        <v>530</v>
      </c>
      <c r="F173" s="12">
        <f t="shared" si="8"/>
        <v>15132.53</v>
      </c>
      <c r="G173" s="22" t="str">
        <f t="shared" si="9"/>
        <v>Active</v>
      </c>
      <c r="H173" s="23"/>
      <c r="O173" s="68">
        <f t="shared" si="10"/>
        <v>28</v>
      </c>
      <c r="P173" s="68">
        <f>IF(B173="", 0, IFERROR(MIN(C173+D173, VLOOKUP(B173, '💳 Debt Input'!$A:$G, 4, FALSE)), 0))</f>
        <v>480</v>
      </c>
    </row>
    <row r="174" spans="1:16" ht="18" customHeight="1" x14ac:dyDescent="0.35">
      <c r="A174" s="49"/>
      <c r="B174" s="6" t="str">
        <f>'💳 Debt Input'!$A$8</f>
        <v>Travel Card</v>
      </c>
      <c r="C174" s="12">
        <f t="shared" si="11"/>
        <v>4546.8100000000004</v>
      </c>
      <c r="D174" s="12">
        <f>ROUND(C174*'💳 Debt Input'!$C$8/12,2)</f>
        <v>68.2</v>
      </c>
      <c r="E174" s="12">
        <f>IF(B174="", "", MIN(C174+D174, MAX(P174, $F$3 - SUMIFS(E$10:E173, O$10:O173, O174) - SUMIFS(P175:P$1995, O175:O$1995, O174))))</f>
        <v>270</v>
      </c>
      <c r="F174" s="12">
        <f t="shared" si="8"/>
        <v>4345.01</v>
      </c>
      <c r="G174" s="22" t="str">
        <f t="shared" si="9"/>
        <v>Active</v>
      </c>
      <c r="H174" s="23"/>
      <c r="O174" s="68">
        <f t="shared" si="10"/>
        <v>28</v>
      </c>
      <c r="P174" s="68">
        <f>IF(B174="", 0, IFERROR(MIN(C174+D174, VLOOKUP(B174, '💳 Debt Input'!$A:$G, 4, FALSE)), 0))</f>
        <v>270</v>
      </c>
    </row>
    <row r="175" spans="1:16" ht="18" customHeight="1" x14ac:dyDescent="0.35">
      <c r="A175" s="49"/>
      <c r="B175" s="6" t="str">
        <f>'💳 Debt Input'!$A$7</f>
        <v>Auto Loan</v>
      </c>
      <c r="C175" s="12">
        <f t="shared" si="11"/>
        <v>1387.96</v>
      </c>
      <c r="D175" s="12">
        <f>ROUND(C175*'💳 Debt Input'!$C$7/12,2)</f>
        <v>11.57</v>
      </c>
      <c r="E175" s="12">
        <f>IF(B175="", "", MIN(C175+D175, MAX(P175, $F$3 - SUMIFS(E$10:E174, O$10:O174, O175) - SUMIFS(P176:P$1995, O176:O$1995, O175))))</f>
        <v>120</v>
      </c>
      <c r="F175" s="12">
        <f t="shared" si="8"/>
        <v>1279.53</v>
      </c>
      <c r="G175" s="22" t="str">
        <f t="shared" si="9"/>
        <v>Active</v>
      </c>
      <c r="H175" s="23"/>
      <c r="O175" s="68">
        <f t="shared" si="10"/>
        <v>28</v>
      </c>
      <c r="P175" s="68">
        <f>IF(B175="", 0, IFERROR(MIN(C175+D175, VLOOKUP(B175, '💳 Debt Input'!$A:$G, 4, FALSE)), 0))</f>
        <v>120</v>
      </c>
    </row>
    <row r="176" spans="1:16" ht="18" customHeight="1" x14ac:dyDescent="0.35">
      <c r="A176" s="49"/>
      <c r="B176" s="6" t="str">
        <f>'💳 Debt Input'!$A$6</f>
        <v>Personal Loan</v>
      </c>
      <c r="C176" s="12">
        <f t="shared" si="11"/>
        <v>563.03</v>
      </c>
      <c r="D176" s="12">
        <f>ROUND(C176*'💳 Debt Input'!$C$6/12,2)</f>
        <v>2.82</v>
      </c>
      <c r="E176" s="12">
        <f>IF(B176="", "", MIN(C176+D176, MAX(P176, $F$3 - SUMIFS(E$10:E175, O$10:O175, O176) - SUMIFS(P177:P$1995, O177:O$1995, O176))))</f>
        <v>40</v>
      </c>
      <c r="F176" s="12">
        <f t="shared" si="8"/>
        <v>525.85</v>
      </c>
      <c r="G176" s="22" t="str">
        <f t="shared" si="9"/>
        <v>Active</v>
      </c>
      <c r="H176" s="23"/>
      <c r="O176" s="68">
        <f t="shared" si="10"/>
        <v>28</v>
      </c>
      <c r="P176" s="68">
        <f>IF(B176="", 0, IFERROR(MIN(C176+D176, VLOOKUP(B176, '💳 Debt Input'!$A:$G, 4, FALSE)), 0))</f>
        <v>40</v>
      </c>
    </row>
    <row r="177" spans="1:16" ht="18" customHeight="1" x14ac:dyDescent="0.35">
      <c r="A177" s="52"/>
      <c r="B177" s="26" t="str">
        <f>'💳 Debt Input'!$A$5</f>
        <v>Medical Bill</v>
      </c>
      <c r="C177" s="27">
        <f t="shared" si="11"/>
        <v>0</v>
      </c>
      <c r="D177" s="27">
        <f>ROUND(C177*'💳 Debt Input'!$C$5/12,2)</f>
        <v>0</v>
      </c>
      <c r="E177" s="27">
        <f>IF(B177="", "", MIN(C177+D177, MAX(P177, $F$3 - SUMIFS(E$10:E176, O$10:O176, O177) - SUMIFS(P178:P$1995, O178:O$1995, O177))))</f>
        <v>0</v>
      </c>
      <c r="F177" s="27">
        <f t="shared" si="8"/>
        <v>0</v>
      </c>
      <c r="G177" s="28" t="str">
        <f t="shared" si="9"/>
        <v>Paid off</v>
      </c>
      <c r="H177" s="29"/>
      <c r="O177" s="68">
        <f t="shared" si="10"/>
        <v>28</v>
      </c>
      <c r="P177" s="68">
        <f>IF(B177="", 0, IFERROR(MIN(C177+D177, VLOOKUP(B177, '💳 Debt Input'!$A:$G, 4, FALSE)), 0))</f>
        <v>0</v>
      </c>
    </row>
    <row r="178" spans="1:16" ht="18" customHeight="1" x14ac:dyDescent="0.35">
      <c r="A178" s="52"/>
      <c r="B178" s="26" t="str">
        <f>'💳 Debt Input'!$A$4</f>
        <v>Store Card</v>
      </c>
      <c r="C178" s="27">
        <f t="shared" si="11"/>
        <v>0</v>
      </c>
      <c r="D178" s="27">
        <f>ROUND(C178*'💳 Debt Input'!$C$4/12,2)</f>
        <v>0</v>
      </c>
      <c r="E178" s="27">
        <f>IF(B178="", "", MIN(C178+D178, MAX(P178, $F$3 - SUMIFS(E$10:E177, O$10:O177, O178) - SUMIFS(P179:P$1995, O179:O$1995, O178))))</f>
        <v>0</v>
      </c>
      <c r="F178" s="27">
        <f t="shared" si="8"/>
        <v>0</v>
      </c>
      <c r="G178" s="28" t="str">
        <f t="shared" si="9"/>
        <v>Paid off</v>
      </c>
      <c r="H178" s="29"/>
      <c r="O178" s="68">
        <f t="shared" si="10"/>
        <v>28</v>
      </c>
      <c r="P178" s="68">
        <f>IF(B178="", 0, IFERROR(MIN(C178+D178, VLOOKUP(B178, '💳 Debt Input'!$A:$G, 4, FALSE)), 0))</f>
        <v>0</v>
      </c>
    </row>
    <row r="179" spans="1:16" ht="18" customHeight="1" x14ac:dyDescent="0.35">
      <c r="A179" s="50">
        <v>29</v>
      </c>
      <c r="B179" s="8" t="str">
        <f>'💳 Debt Input'!$A$9</f>
        <v>Rewards Visa</v>
      </c>
      <c r="C179" s="10">
        <f t="shared" si="11"/>
        <v>15132.53</v>
      </c>
      <c r="D179" s="10">
        <f>ROUND(C179*'💳 Debt Input'!$C$9/12,2)</f>
        <v>453.98</v>
      </c>
      <c r="E179" s="10">
        <f>IF(B179="", "", MIN(C179+D179, MAX(P179, $F$3 - SUMIFS(E$10:E178, O$10:O178, O179) - SUMIFS(P180:P$1995, O180:O$1995, O179))))</f>
        <v>530</v>
      </c>
      <c r="F179" s="10">
        <f t="shared" si="8"/>
        <v>15056.51</v>
      </c>
      <c r="G179" s="19" t="str">
        <f t="shared" si="9"/>
        <v>Active</v>
      </c>
      <c r="H179" s="20"/>
      <c r="O179" s="68">
        <f t="shared" si="10"/>
        <v>29</v>
      </c>
      <c r="P179" s="68">
        <f>IF(B179="", 0, IFERROR(MIN(C179+D179, VLOOKUP(B179, '💳 Debt Input'!$A:$G, 4, FALSE)), 0))</f>
        <v>480</v>
      </c>
    </row>
    <row r="180" spans="1:16" ht="18" customHeight="1" x14ac:dyDescent="0.35">
      <c r="A180" s="47"/>
      <c r="B180" s="8" t="str">
        <f>'💳 Debt Input'!$A$8</f>
        <v>Travel Card</v>
      </c>
      <c r="C180" s="10">
        <f t="shared" si="11"/>
        <v>4345.01</v>
      </c>
      <c r="D180" s="10">
        <f>ROUND(C180*'💳 Debt Input'!$C$8/12,2)</f>
        <v>65.180000000000007</v>
      </c>
      <c r="E180" s="10">
        <f>IF(B180="", "", MIN(C180+D180, MAX(P180, $F$3 - SUMIFS(E$10:E179, O$10:O179, O180) - SUMIFS(P181:P$1995, O181:O$1995, O180))))</f>
        <v>270</v>
      </c>
      <c r="F180" s="10">
        <f t="shared" si="8"/>
        <v>4140.1899999999996</v>
      </c>
      <c r="G180" s="19" t="str">
        <f t="shared" si="9"/>
        <v>Active</v>
      </c>
      <c r="H180" s="20"/>
      <c r="O180" s="68">
        <f t="shared" si="10"/>
        <v>29</v>
      </c>
      <c r="P180" s="68">
        <f>IF(B180="", 0, IFERROR(MIN(C180+D180, VLOOKUP(B180, '💳 Debt Input'!$A:$G, 4, FALSE)), 0))</f>
        <v>270</v>
      </c>
    </row>
    <row r="181" spans="1:16" ht="18" customHeight="1" x14ac:dyDescent="0.35">
      <c r="A181" s="47"/>
      <c r="B181" s="8" t="str">
        <f>'💳 Debt Input'!$A$7</f>
        <v>Auto Loan</v>
      </c>
      <c r="C181" s="10">
        <f t="shared" si="11"/>
        <v>1279.53</v>
      </c>
      <c r="D181" s="10">
        <f>ROUND(C181*'💳 Debt Input'!$C$7/12,2)</f>
        <v>10.66</v>
      </c>
      <c r="E181" s="10">
        <f>IF(B181="", "", MIN(C181+D181, MAX(P181, $F$3 - SUMIFS(E$10:E180, O$10:O180, O181) - SUMIFS(P182:P$1995, O182:O$1995, O181))))</f>
        <v>120</v>
      </c>
      <c r="F181" s="10">
        <f t="shared" si="8"/>
        <v>1170.19</v>
      </c>
      <c r="G181" s="19" t="str">
        <f t="shared" si="9"/>
        <v>Active</v>
      </c>
      <c r="H181" s="20"/>
      <c r="O181" s="68">
        <f t="shared" si="10"/>
        <v>29</v>
      </c>
      <c r="P181" s="68">
        <f>IF(B181="", 0, IFERROR(MIN(C181+D181, VLOOKUP(B181, '💳 Debt Input'!$A:$G, 4, FALSE)), 0))</f>
        <v>120</v>
      </c>
    </row>
    <row r="182" spans="1:16" ht="18" customHeight="1" x14ac:dyDescent="0.35">
      <c r="A182" s="47"/>
      <c r="B182" s="8" t="str">
        <f>'💳 Debt Input'!$A$6</f>
        <v>Personal Loan</v>
      </c>
      <c r="C182" s="10">
        <f t="shared" si="11"/>
        <v>525.85</v>
      </c>
      <c r="D182" s="10">
        <f>ROUND(C182*'💳 Debt Input'!$C$6/12,2)</f>
        <v>2.63</v>
      </c>
      <c r="E182" s="10">
        <f>IF(B182="", "", MIN(C182+D182, MAX(P182, $F$3 - SUMIFS(E$10:E181, O$10:O181, O182) - SUMIFS(P183:P$1995, O183:O$1995, O182))))</f>
        <v>40</v>
      </c>
      <c r="F182" s="10">
        <f t="shared" si="8"/>
        <v>488.48</v>
      </c>
      <c r="G182" s="19" t="str">
        <f t="shared" si="9"/>
        <v>Active</v>
      </c>
      <c r="H182" s="20"/>
      <c r="O182" s="68">
        <f t="shared" si="10"/>
        <v>29</v>
      </c>
      <c r="P182" s="68">
        <f>IF(B182="", 0, IFERROR(MIN(C182+D182, VLOOKUP(B182, '💳 Debt Input'!$A:$G, 4, FALSE)), 0))</f>
        <v>40</v>
      </c>
    </row>
    <row r="183" spans="1:16" ht="18" customHeight="1" x14ac:dyDescent="0.35">
      <c r="A183" s="52"/>
      <c r="B183" s="26" t="str">
        <f>'💳 Debt Input'!$A$5</f>
        <v>Medical Bill</v>
      </c>
      <c r="C183" s="27">
        <f t="shared" si="11"/>
        <v>0</v>
      </c>
      <c r="D183" s="27">
        <f>ROUND(C183*'💳 Debt Input'!$C$5/12,2)</f>
        <v>0</v>
      </c>
      <c r="E183" s="27">
        <f>IF(B183="", "", MIN(C183+D183, MAX(P183, $F$3 - SUMIFS(E$10:E182, O$10:O182, O183) - SUMIFS(P184:P$1995, O184:O$1995, O183))))</f>
        <v>0</v>
      </c>
      <c r="F183" s="27">
        <f t="shared" si="8"/>
        <v>0</v>
      </c>
      <c r="G183" s="28" t="str">
        <f t="shared" si="9"/>
        <v>Paid off</v>
      </c>
      <c r="H183" s="29"/>
      <c r="O183" s="68">
        <f t="shared" si="10"/>
        <v>29</v>
      </c>
      <c r="P183" s="68">
        <f>IF(B183="", 0, IFERROR(MIN(C183+D183, VLOOKUP(B183, '💳 Debt Input'!$A:$G, 4, FALSE)), 0))</f>
        <v>0</v>
      </c>
    </row>
    <row r="184" spans="1:16" ht="18" customHeight="1" x14ac:dyDescent="0.35">
      <c r="A184" s="52"/>
      <c r="B184" s="26" t="str">
        <f>'💳 Debt Input'!$A$4</f>
        <v>Store Card</v>
      </c>
      <c r="C184" s="27">
        <f t="shared" si="11"/>
        <v>0</v>
      </c>
      <c r="D184" s="27">
        <f>ROUND(C184*'💳 Debt Input'!$C$4/12,2)</f>
        <v>0</v>
      </c>
      <c r="E184" s="27">
        <f>IF(B184="", "", MIN(C184+D184, MAX(P184, $F$3 - SUMIFS(E$10:E183, O$10:O183, O184) - SUMIFS(P185:P$1995, O185:O$1995, O184))))</f>
        <v>0</v>
      </c>
      <c r="F184" s="27">
        <f t="shared" si="8"/>
        <v>0</v>
      </c>
      <c r="G184" s="28" t="str">
        <f t="shared" si="9"/>
        <v>Paid off</v>
      </c>
      <c r="H184" s="29"/>
      <c r="O184" s="68">
        <f t="shared" si="10"/>
        <v>29</v>
      </c>
      <c r="P184" s="68">
        <f>IF(B184="", 0, IFERROR(MIN(C184+D184, VLOOKUP(B184, '💳 Debt Input'!$A:$G, 4, FALSE)), 0))</f>
        <v>0</v>
      </c>
    </row>
    <row r="185" spans="1:16" ht="18" customHeight="1" x14ac:dyDescent="0.35">
      <c r="A185" s="48">
        <v>30</v>
      </c>
      <c r="B185" s="6" t="str">
        <f>'💳 Debt Input'!$A$9</f>
        <v>Rewards Visa</v>
      </c>
      <c r="C185" s="12">
        <f t="shared" si="11"/>
        <v>15056.51</v>
      </c>
      <c r="D185" s="12">
        <f>ROUND(C185*'💳 Debt Input'!$C$9/12,2)</f>
        <v>451.7</v>
      </c>
      <c r="E185" s="12">
        <f>IF(B185="", "", MIN(C185+D185, MAX(P185, $F$3 - SUMIFS(E$10:E184, O$10:O184, O185) - SUMIFS(P186:P$1995, O186:O$1995, O185))))</f>
        <v>530</v>
      </c>
      <c r="F185" s="12">
        <f t="shared" si="8"/>
        <v>14978.21</v>
      </c>
      <c r="G185" s="22" t="str">
        <f t="shared" si="9"/>
        <v>Active</v>
      </c>
      <c r="H185" s="23"/>
      <c r="O185" s="68">
        <f t="shared" si="10"/>
        <v>30</v>
      </c>
      <c r="P185" s="68">
        <f>IF(B185="", 0, IFERROR(MIN(C185+D185, VLOOKUP(B185, '💳 Debt Input'!$A:$G, 4, FALSE)), 0))</f>
        <v>480</v>
      </c>
    </row>
    <row r="186" spans="1:16" ht="18" customHeight="1" x14ac:dyDescent="0.35">
      <c r="A186" s="49"/>
      <c r="B186" s="6" t="str">
        <f>'💳 Debt Input'!$A$8</f>
        <v>Travel Card</v>
      </c>
      <c r="C186" s="12">
        <f t="shared" si="11"/>
        <v>4140.1899999999996</v>
      </c>
      <c r="D186" s="12">
        <f>ROUND(C186*'💳 Debt Input'!$C$8/12,2)</f>
        <v>62.1</v>
      </c>
      <c r="E186" s="12">
        <f>IF(B186="", "", MIN(C186+D186, MAX(P186, $F$3 - SUMIFS(E$10:E185, O$10:O185, O186) - SUMIFS(P187:P$1995, O187:O$1995, O186))))</f>
        <v>270</v>
      </c>
      <c r="F186" s="12">
        <f t="shared" si="8"/>
        <v>3932.29</v>
      </c>
      <c r="G186" s="22" t="str">
        <f t="shared" si="9"/>
        <v>Active</v>
      </c>
      <c r="H186" s="23"/>
      <c r="O186" s="68">
        <f t="shared" si="10"/>
        <v>30</v>
      </c>
      <c r="P186" s="68">
        <f>IF(B186="", 0, IFERROR(MIN(C186+D186, VLOOKUP(B186, '💳 Debt Input'!$A:$G, 4, FALSE)), 0))</f>
        <v>270</v>
      </c>
    </row>
    <row r="187" spans="1:16" ht="18" customHeight="1" x14ac:dyDescent="0.35">
      <c r="A187" s="49"/>
      <c r="B187" s="6" t="str">
        <f>'💳 Debt Input'!$A$7</f>
        <v>Auto Loan</v>
      </c>
      <c r="C187" s="12">
        <f t="shared" si="11"/>
        <v>1170.19</v>
      </c>
      <c r="D187" s="12">
        <f>ROUND(C187*'💳 Debt Input'!$C$7/12,2)</f>
        <v>9.75</v>
      </c>
      <c r="E187" s="12">
        <f>IF(B187="", "", MIN(C187+D187, MAX(P187, $F$3 - SUMIFS(E$10:E186, O$10:O186, O187) - SUMIFS(P188:P$1995, O188:O$1995, O187))))</f>
        <v>120</v>
      </c>
      <c r="F187" s="12">
        <f t="shared" si="8"/>
        <v>1059.94</v>
      </c>
      <c r="G187" s="22" t="str">
        <f t="shared" si="9"/>
        <v>Active</v>
      </c>
      <c r="H187" s="23"/>
      <c r="O187" s="68">
        <f t="shared" si="10"/>
        <v>30</v>
      </c>
      <c r="P187" s="68">
        <f>IF(B187="", 0, IFERROR(MIN(C187+D187, VLOOKUP(B187, '💳 Debt Input'!$A:$G, 4, FALSE)), 0))</f>
        <v>120</v>
      </c>
    </row>
    <row r="188" spans="1:16" ht="18" customHeight="1" x14ac:dyDescent="0.35">
      <c r="A188" s="49"/>
      <c r="B188" s="6" t="str">
        <f>'💳 Debt Input'!$A$6</f>
        <v>Personal Loan</v>
      </c>
      <c r="C188" s="12">
        <f t="shared" si="11"/>
        <v>488.48</v>
      </c>
      <c r="D188" s="12">
        <f>ROUND(C188*'💳 Debt Input'!$C$6/12,2)</f>
        <v>2.44</v>
      </c>
      <c r="E188" s="12">
        <f>IF(B188="", "", MIN(C188+D188, MAX(P188, $F$3 - SUMIFS(E$10:E187, O$10:O187, O188) - SUMIFS(P189:P$1995, O189:O$1995, O188))))</f>
        <v>40</v>
      </c>
      <c r="F188" s="12">
        <f t="shared" si="8"/>
        <v>450.92</v>
      </c>
      <c r="G188" s="22" t="str">
        <f t="shared" si="9"/>
        <v>Active</v>
      </c>
      <c r="H188" s="23"/>
      <c r="O188" s="68">
        <f t="shared" si="10"/>
        <v>30</v>
      </c>
      <c r="P188" s="68">
        <f>IF(B188="", 0, IFERROR(MIN(C188+D188, VLOOKUP(B188, '💳 Debt Input'!$A:$G, 4, FALSE)), 0))</f>
        <v>40</v>
      </c>
    </row>
    <row r="189" spans="1:16" ht="18" customHeight="1" x14ac:dyDescent="0.35">
      <c r="A189" s="52"/>
      <c r="B189" s="26" t="str">
        <f>'💳 Debt Input'!$A$5</f>
        <v>Medical Bill</v>
      </c>
      <c r="C189" s="27">
        <f t="shared" si="11"/>
        <v>0</v>
      </c>
      <c r="D189" s="27">
        <f>ROUND(C189*'💳 Debt Input'!$C$5/12,2)</f>
        <v>0</v>
      </c>
      <c r="E189" s="27">
        <f>IF(B189="", "", MIN(C189+D189, MAX(P189, $F$3 - SUMIFS(E$10:E188, O$10:O188, O189) - SUMIFS(P190:P$1995, O190:O$1995, O189))))</f>
        <v>0</v>
      </c>
      <c r="F189" s="27">
        <f t="shared" si="8"/>
        <v>0</v>
      </c>
      <c r="G189" s="28" t="str">
        <f t="shared" si="9"/>
        <v>Paid off</v>
      </c>
      <c r="H189" s="29"/>
      <c r="O189" s="68">
        <f t="shared" si="10"/>
        <v>30</v>
      </c>
      <c r="P189" s="68">
        <f>IF(B189="", 0, IFERROR(MIN(C189+D189, VLOOKUP(B189, '💳 Debt Input'!$A:$G, 4, FALSE)), 0))</f>
        <v>0</v>
      </c>
    </row>
    <row r="190" spans="1:16" ht="18" customHeight="1" x14ac:dyDescent="0.35">
      <c r="A190" s="52"/>
      <c r="B190" s="26" t="str">
        <f>'💳 Debt Input'!$A$4</f>
        <v>Store Card</v>
      </c>
      <c r="C190" s="27">
        <f t="shared" si="11"/>
        <v>0</v>
      </c>
      <c r="D190" s="27">
        <f>ROUND(C190*'💳 Debt Input'!$C$4/12,2)</f>
        <v>0</v>
      </c>
      <c r="E190" s="27">
        <f>IF(B190="", "", MIN(C190+D190, MAX(P190, $F$3 - SUMIFS(E$10:E189, O$10:O189, O190) - SUMIFS(P191:P$1995, O191:O$1995, O190))))</f>
        <v>0</v>
      </c>
      <c r="F190" s="27">
        <f t="shared" si="8"/>
        <v>0</v>
      </c>
      <c r="G190" s="28" t="str">
        <f t="shared" si="9"/>
        <v>Paid off</v>
      </c>
      <c r="H190" s="29"/>
      <c r="O190" s="68">
        <f t="shared" si="10"/>
        <v>30</v>
      </c>
      <c r="P190" s="68">
        <f>IF(B190="", 0, IFERROR(MIN(C190+D190, VLOOKUP(B190, '💳 Debt Input'!$A:$G, 4, FALSE)), 0))</f>
        <v>0</v>
      </c>
    </row>
    <row r="191" spans="1:16" ht="18" customHeight="1" x14ac:dyDescent="0.35">
      <c r="A191" s="50">
        <v>31</v>
      </c>
      <c r="B191" s="8" t="str">
        <f>'💳 Debt Input'!$A$9</f>
        <v>Rewards Visa</v>
      </c>
      <c r="C191" s="10">
        <f t="shared" si="11"/>
        <v>14978.21</v>
      </c>
      <c r="D191" s="10">
        <f>ROUND(C191*'💳 Debt Input'!$C$9/12,2)</f>
        <v>449.35</v>
      </c>
      <c r="E191" s="10">
        <f>IF(B191="", "", MIN(C191+D191, MAX(P191, $F$3 - SUMIFS(E$10:E190, O$10:O190, O191) - SUMIFS(P192:P$1995, O192:O$1995, O191))))</f>
        <v>530</v>
      </c>
      <c r="F191" s="10">
        <f t="shared" si="8"/>
        <v>14897.56</v>
      </c>
      <c r="G191" s="19" t="str">
        <f t="shared" si="9"/>
        <v>Active</v>
      </c>
      <c r="H191" s="20"/>
      <c r="O191" s="68">
        <f t="shared" si="10"/>
        <v>31</v>
      </c>
      <c r="P191" s="68">
        <f>IF(B191="", 0, IFERROR(MIN(C191+D191, VLOOKUP(B191, '💳 Debt Input'!$A:$G, 4, FALSE)), 0))</f>
        <v>480</v>
      </c>
    </row>
    <row r="192" spans="1:16" ht="18" customHeight="1" x14ac:dyDescent="0.35">
      <c r="A192" s="47"/>
      <c r="B192" s="8" t="str">
        <f>'💳 Debt Input'!$A$8</f>
        <v>Travel Card</v>
      </c>
      <c r="C192" s="10">
        <f t="shared" si="11"/>
        <v>3932.29</v>
      </c>
      <c r="D192" s="10">
        <f>ROUND(C192*'💳 Debt Input'!$C$8/12,2)</f>
        <v>58.98</v>
      </c>
      <c r="E192" s="10">
        <f>IF(B192="", "", MIN(C192+D192, MAX(P192, $F$3 - SUMIFS(E$10:E191, O$10:O191, O192) - SUMIFS(P193:P$1995, O193:O$1995, O192))))</f>
        <v>270</v>
      </c>
      <c r="F192" s="10">
        <f t="shared" si="8"/>
        <v>3721.27</v>
      </c>
      <c r="G192" s="19" t="str">
        <f t="shared" si="9"/>
        <v>Active</v>
      </c>
      <c r="H192" s="20"/>
      <c r="O192" s="68">
        <f t="shared" si="10"/>
        <v>31</v>
      </c>
      <c r="P192" s="68">
        <f>IF(B192="", 0, IFERROR(MIN(C192+D192, VLOOKUP(B192, '💳 Debt Input'!$A:$G, 4, FALSE)), 0))</f>
        <v>270</v>
      </c>
    </row>
    <row r="193" spans="1:16" ht="18" customHeight="1" x14ac:dyDescent="0.35">
      <c r="A193" s="47"/>
      <c r="B193" s="8" t="str">
        <f>'💳 Debt Input'!$A$7</f>
        <v>Auto Loan</v>
      </c>
      <c r="C193" s="10">
        <f t="shared" si="11"/>
        <v>1059.94</v>
      </c>
      <c r="D193" s="10">
        <f>ROUND(C193*'💳 Debt Input'!$C$7/12,2)</f>
        <v>8.83</v>
      </c>
      <c r="E193" s="10">
        <f>IF(B193="", "", MIN(C193+D193, MAX(P193, $F$3 - SUMIFS(E$10:E192, O$10:O192, O193) - SUMIFS(P194:P$1995, O194:O$1995, O193))))</f>
        <v>120</v>
      </c>
      <c r="F193" s="10">
        <f t="shared" si="8"/>
        <v>948.77</v>
      </c>
      <c r="G193" s="19" t="str">
        <f t="shared" si="9"/>
        <v>Active</v>
      </c>
      <c r="H193" s="20"/>
      <c r="O193" s="68">
        <f t="shared" si="10"/>
        <v>31</v>
      </c>
      <c r="P193" s="68">
        <f>IF(B193="", 0, IFERROR(MIN(C193+D193, VLOOKUP(B193, '💳 Debt Input'!$A:$G, 4, FALSE)), 0))</f>
        <v>120</v>
      </c>
    </row>
    <row r="194" spans="1:16" ht="18" customHeight="1" x14ac:dyDescent="0.35">
      <c r="A194" s="47"/>
      <c r="B194" s="8" t="str">
        <f>'💳 Debt Input'!$A$6</f>
        <v>Personal Loan</v>
      </c>
      <c r="C194" s="10">
        <f t="shared" si="11"/>
        <v>450.92</v>
      </c>
      <c r="D194" s="10">
        <f>ROUND(C194*'💳 Debt Input'!$C$6/12,2)</f>
        <v>2.25</v>
      </c>
      <c r="E194" s="10">
        <f>IF(B194="", "", MIN(C194+D194, MAX(P194, $F$3 - SUMIFS(E$10:E193, O$10:O193, O194) - SUMIFS(P195:P$1995, O195:O$1995, O194))))</f>
        <v>40</v>
      </c>
      <c r="F194" s="10">
        <f t="shared" si="8"/>
        <v>413.17</v>
      </c>
      <c r="G194" s="19" t="str">
        <f t="shared" si="9"/>
        <v>Active</v>
      </c>
      <c r="H194" s="20"/>
      <c r="O194" s="68">
        <f t="shared" si="10"/>
        <v>31</v>
      </c>
      <c r="P194" s="68">
        <f>IF(B194="", 0, IFERROR(MIN(C194+D194, VLOOKUP(B194, '💳 Debt Input'!$A:$G, 4, FALSE)), 0))</f>
        <v>40</v>
      </c>
    </row>
    <row r="195" spans="1:16" ht="18" customHeight="1" x14ac:dyDescent="0.35">
      <c r="A195" s="52"/>
      <c r="B195" s="26" t="str">
        <f>'💳 Debt Input'!$A$5</f>
        <v>Medical Bill</v>
      </c>
      <c r="C195" s="27">
        <f t="shared" si="11"/>
        <v>0</v>
      </c>
      <c r="D195" s="27">
        <f>ROUND(C195*'💳 Debt Input'!$C$5/12,2)</f>
        <v>0</v>
      </c>
      <c r="E195" s="27">
        <f>IF(B195="", "", MIN(C195+D195, MAX(P195, $F$3 - SUMIFS(E$10:E194, O$10:O194, O195) - SUMIFS(P196:P$1995, O196:O$1995, O195))))</f>
        <v>0</v>
      </c>
      <c r="F195" s="27">
        <f t="shared" si="8"/>
        <v>0</v>
      </c>
      <c r="G195" s="28" t="str">
        <f t="shared" si="9"/>
        <v>Paid off</v>
      </c>
      <c r="H195" s="29"/>
      <c r="O195" s="68">
        <f t="shared" si="10"/>
        <v>31</v>
      </c>
      <c r="P195" s="68">
        <f>IF(B195="", 0, IFERROR(MIN(C195+D195, VLOOKUP(B195, '💳 Debt Input'!$A:$G, 4, FALSE)), 0))</f>
        <v>0</v>
      </c>
    </row>
    <row r="196" spans="1:16" ht="18" customHeight="1" x14ac:dyDescent="0.35">
      <c r="A196" s="52"/>
      <c r="B196" s="26" t="str">
        <f>'💳 Debt Input'!$A$4</f>
        <v>Store Card</v>
      </c>
      <c r="C196" s="27">
        <f t="shared" si="11"/>
        <v>0</v>
      </c>
      <c r="D196" s="27">
        <f>ROUND(C196*'💳 Debt Input'!$C$4/12,2)</f>
        <v>0</v>
      </c>
      <c r="E196" s="27">
        <f>IF(B196="", "", MIN(C196+D196, MAX(P196, $F$3 - SUMIFS(E$10:E195, O$10:O195, O196) - SUMIFS(P197:P$1995, O197:O$1995, O196))))</f>
        <v>0</v>
      </c>
      <c r="F196" s="27">
        <f t="shared" si="8"/>
        <v>0</v>
      </c>
      <c r="G196" s="28" t="str">
        <f t="shared" si="9"/>
        <v>Paid off</v>
      </c>
      <c r="H196" s="29"/>
      <c r="O196" s="68">
        <f t="shared" si="10"/>
        <v>31</v>
      </c>
      <c r="P196" s="68">
        <f>IF(B196="", 0, IFERROR(MIN(C196+D196, VLOOKUP(B196, '💳 Debt Input'!$A:$G, 4, FALSE)), 0))</f>
        <v>0</v>
      </c>
    </row>
    <row r="197" spans="1:16" ht="18" customHeight="1" x14ac:dyDescent="0.35">
      <c r="A197" s="48">
        <v>32</v>
      </c>
      <c r="B197" s="6" t="str">
        <f>'💳 Debt Input'!$A$9</f>
        <v>Rewards Visa</v>
      </c>
      <c r="C197" s="12">
        <f t="shared" si="11"/>
        <v>14897.56</v>
      </c>
      <c r="D197" s="12">
        <f>ROUND(C197*'💳 Debt Input'!$C$9/12,2)</f>
        <v>446.93</v>
      </c>
      <c r="E197" s="12">
        <f>IF(B197="", "", MIN(C197+D197, MAX(P197, $F$3 - SUMIFS(E$10:E196, O$10:O196, O197) - SUMIFS(P198:P$1995, O198:O$1995, O197))))</f>
        <v>530</v>
      </c>
      <c r="F197" s="12">
        <f t="shared" si="8"/>
        <v>14814.49</v>
      </c>
      <c r="G197" s="22" t="str">
        <f t="shared" si="9"/>
        <v>Active</v>
      </c>
      <c r="H197" s="23"/>
      <c r="O197" s="68">
        <f t="shared" si="10"/>
        <v>32</v>
      </c>
      <c r="P197" s="68">
        <f>IF(B197="", 0, IFERROR(MIN(C197+D197, VLOOKUP(B197, '💳 Debt Input'!$A:$G, 4, FALSE)), 0))</f>
        <v>480</v>
      </c>
    </row>
    <row r="198" spans="1:16" ht="18" customHeight="1" x14ac:dyDescent="0.35">
      <c r="A198" s="49"/>
      <c r="B198" s="6" t="str">
        <f>'💳 Debt Input'!$A$8</f>
        <v>Travel Card</v>
      </c>
      <c r="C198" s="12">
        <f t="shared" si="11"/>
        <v>3721.27</v>
      </c>
      <c r="D198" s="12">
        <f>ROUND(C198*'💳 Debt Input'!$C$8/12,2)</f>
        <v>55.82</v>
      </c>
      <c r="E198" s="12">
        <f>IF(B198="", "", MIN(C198+D198, MAX(P198, $F$3 - SUMIFS(E$10:E197, O$10:O197, O198) - SUMIFS(P199:P$1995, O199:O$1995, O198))))</f>
        <v>270</v>
      </c>
      <c r="F198" s="12">
        <f t="shared" si="8"/>
        <v>3507.09</v>
      </c>
      <c r="G198" s="22" t="str">
        <f t="shared" si="9"/>
        <v>Active</v>
      </c>
      <c r="H198" s="23"/>
      <c r="O198" s="68">
        <f t="shared" si="10"/>
        <v>32</v>
      </c>
      <c r="P198" s="68">
        <f>IF(B198="", 0, IFERROR(MIN(C198+D198, VLOOKUP(B198, '💳 Debt Input'!$A:$G, 4, FALSE)), 0))</f>
        <v>270</v>
      </c>
    </row>
    <row r="199" spans="1:16" ht="18" customHeight="1" x14ac:dyDescent="0.35">
      <c r="A199" s="49"/>
      <c r="B199" s="6" t="str">
        <f>'💳 Debt Input'!$A$7</f>
        <v>Auto Loan</v>
      </c>
      <c r="C199" s="12">
        <f t="shared" si="11"/>
        <v>948.77</v>
      </c>
      <c r="D199" s="12">
        <f>ROUND(C199*'💳 Debt Input'!$C$7/12,2)</f>
        <v>7.91</v>
      </c>
      <c r="E199" s="12">
        <f>IF(B199="", "", MIN(C199+D199, MAX(P199, $F$3 - SUMIFS(E$10:E198, O$10:O198, O199) - SUMIFS(P200:P$1995, O200:O$1995, O199))))</f>
        <v>120</v>
      </c>
      <c r="F199" s="12">
        <f t="shared" si="8"/>
        <v>836.68</v>
      </c>
      <c r="G199" s="22" t="str">
        <f t="shared" si="9"/>
        <v>Active</v>
      </c>
      <c r="H199" s="23"/>
      <c r="O199" s="68">
        <f t="shared" si="10"/>
        <v>32</v>
      </c>
      <c r="P199" s="68">
        <f>IF(B199="", 0, IFERROR(MIN(C199+D199, VLOOKUP(B199, '💳 Debt Input'!$A:$G, 4, FALSE)), 0))</f>
        <v>120</v>
      </c>
    </row>
    <row r="200" spans="1:16" ht="18" customHeight="1" x14ac:dyDescent="0.35">
      <c r="A200" s="49"/>
      <c r="B200" s="6" t="str">
        <f>'💳 Debt Input'!$A$6</f>
        <v>Personal Loan</v>
      </c>
      <c r="C200" s="12">
        <f t="shared" si="11"/>
        <v>413.17</v>
      </c>
      <c r="D200" s="12">
        <f>ROUND(C200*'💳 Debt Input'!$C$6/12,2)</f>
        <v>2.0699999999999998</v>
      </c>
      <c r="E200" s="12">
        <f>IF(B200="", "", MIN(C200+D200, MAX(P200, $F$3 - SUMIFS(E$10:E199, O$10:O199, O200) - SUMIFS(P201:P$1995, O201:O$1995, O200))))</f>
        <v>40</v>
      </c>
      <c r="F200" s="12">
        <f t="shared" si="8"/>
        <v>375.24</v>
      </c>
      <c r="G200" s="22" t="str">
        <f t="shared" si="9"/>
        <v>Active</v>
      </c>
      <c r="H200" s="23"/>
      <c r="O200" s="68">
        <f t="shared" si="10"/>
        <v>32</v>
      </c>
      <c r="P200" s="68">
        <f>IF(B200="", 0, IFERROR(MIN(C200+D200, VLOOKUP(B200, '💳 Debt Input'!$A:$G, 4, FALSE)), 0))</f>
        <v>40</v>
      </c>
    </row>
    <row r="201" spans="1:16" ht="18" customHeight="1" x14ac:dyDescent="0.35">
      <c r="A201" s="52"/>
      <c r="B201" s="26" t="str">
        <f>'💳 Debt Input'!$A$5</f>
        <v>Medical Bill</v>
      </c>
      <c r="C201" s="27">
        <f t="shared" si="11"/>
        <v>0</v>
      </c>
      <c r="D201" s="27">
        <f>ROUND(C201*'💳 Debt Input'!$C$5/12,2)</f>
        <v>0</v>
      </c>
      <c r="E201" s="27">
        <f>IF(B201="", "", MIN(C201+D201, MAX(P201, $F$3 - SUMIFS(E$10:E200, O$10:O200, O201) - SUMIFS(P202:P$1995, O202:O$1995, O201))))</f>
        <v>0</v>
      </c>
      <c r="F201" s="27">
        <f t="shared" si="8"/>
        <v>0</v>
      </c>
      <c r="G201" s="28" t="str">
        <f t="shared" si="9"/>
        <v>Paid off</v>
      </c>
      <c r="H201" s="29"/>
      <c r="O201" s="68">
        <f t="shared" si="10"/>
        <v>32</v>
      </c>
      <c r="P201" s="68">
        <f>IF(B201="", 0, IFERROR(MIN(C201+D201, VLOOKUP(B201, '💳 Debt Input'!$A:$G, 4, FALSE)), 0))</f>
        <v>0</v>
      </c>
    </row>
    <row r="202" spans="1:16" ht="18" customHeight="1" x14ac:dyDescent="0.35">
      <c r="A202" s="52"/>
      <c r="B202" s="26" t="str">
        <f>'💳 Debt Input'!$A$4</f>
        <v>Store Card</v>
      </c>
      <c r="C202" s="27">
        <f t="shared" si="11"/>
        <v>0</v>
      </c>
      <c r="D202" s="27">
        <f>ROUND(C202*'💳 Debt Input'!$C$4/12,2)</f>
        <v>0</v>
      </c>
      <c r="E202" s="27">
        <f>IF(B202="", "", MIN(C202+D202, MAX(P202, $F$3 - SUMIFS(E$10:E201, O$10:O201, O202) - SUMIFS(P203:P$1995, O203:O$1995, O202))))</f>
        <v>0</v>
      </c>
      <c r="F202" s="27">
        <f t="shared" si="8"/>
        <v>0</v>
      </c>
      <c r="G202" s="28" t="str">
        <f t="shared" si="9"/>
        <v>Paid off</v>
      </c>
      <c r="H202" s="29"/>
      <c r="O202" s="68">
        <f t="shared" si="10"/>
        <v>32</v>
      </c>
      <c r="P202" s="68">
        <f>IF(B202="", 0, IFERROR(MIN(C202+D202, VLOOKUP(B202, '💳 Debt Input'!$A:$G, 4, FALSE)), 0))</f>
        <v>0</v>
      </c>
    </row>
    <row r="203" spans="1:16" ht="18" customHeight="1" x14ac:dyDescent="0.35">
      <c r="A203" s="50">
        <v>33</v>
      </c>
      <c r="B203" s="8" t="str">
        <f>'💳 Debt Input'!$A$9</f>
        <v>Rewards Visa</v>
      </c>
      <c r="C203" s="10">
        <f t="shared" si="11"/>
        <v>14814.49</v>
      </c>
      <c r="D203" s="10">
        <f>ROUND(C203*'💳 Debt Input'!$C$9/12,2)</f>
        <v>444.43</v>
      </c>
      <c r="E203" s="10">
        <f>IF(B203="", "", MIN(C203+D203, MAX(P203, $F$3 - SUMIFS(E$10:E202, O$10:O202, O203) - SUMIFS(P204:P$1995, O204:O$1995, O203))))</f>
        <v>530</v>
      </c>
      <c r="F203" s="10">
        <f t="shared" ref="F203:F266" si="12">ROUND(MAX(0,C203+D203-E203),2)</f>
        <v>14728.92</v>
      </c>
      <c r="G203" s="19" t="str">
        <f t="shared" ref="G203:G266" si="13">IF(F203=0,"Paid off","Active")</f>
        <v>Active</v>
      </c>
      <c r="H203" s="20"/>
      <c r="O203" s="68">
        <f t="shared" ref="O203:O266" si="14">IF(A203&lt;&gt;"", A203, O202)</f>
        <v>33</v>
      </c>
      <c r="P203" s="68">
        <f>IF(B203="", 0, IFERROR(MIN(C203+D203, VLOOKUP(B203, '💳 Debt Input'!$A:$G, 4, FALSE)), 0))</f>
        <v>480</v>
      </c>
    </row>
    <row r="204" spans="1:16" ht="18" customHeight="1" x14ac:dyDescent="0.35">
      <c r="A204" s="47"/>
      <c r="B204" s="8" t="str">
        <f>'💳 Debt Input'!$A$8</f>
        <v>Travel Card</v>
      </c>
      <c r="C204" s="10">
        <f t="shared" si="11"/>
        <v>3507.09</v>
      </c>
      <c r="D204" s="10">
        <f>ROUND(C204*'💳 Debt Input'!$C$8/12,2)</f>
        <v>52.61</v>
      </c>
      <c r="E204" s="10">
        <f>IF(B204="", "", MIN(C204+D204, MAX(P204, $F$3 - SUMIFS(E$10:E203, O$10:O203, O204) - SUMIFS(P205:P$1995, O205:O$1995, O204))))</f>
        <v>270</v>
      </c>
      <c r="F204" s="10">
        <f t="shared" si="12"/>
        <v>3289.7</v>
      </c>
      <c r="G204" s="19" t="str">
        <f t="shared" si="13"/>
        <v>Active</v>
      </c>
      <c r="H204" s="20"/>
      <c r="O204" s="68">
        <f t="shared" si="14"/>
        <v>33</v>
      </c>
      <c r="P204" s="68">
        <f>IF(B204="", 0, IFERROR(MIN(C204+D204, VLOOKUP(B204, '💳 Debt Input'!$A:$G, 4, FALSE)), 0))</f>
        <v>270</v>
      </c>
    </row>
    <row r="205" spans="1:16" ht="18" customHeight="1" x14ac:dyDescent="0.35">
      <c r="A205" s="47"/>
      <c r="B205" s="8" t="str">
        <f>'💳 Debt Input'!$A$7</f>
        <v>Auto Loan</v>
      </c>
      <c r="C205" s="10">
        <f t="shared" si="11"/>
        <v>836.68</v>
      </c>
      <c r="D205" s="10">
        <f>ROUND(C205*'💳 Debt Input'!$C$7/12,2)</f>
        <v>6.97</v>
      </c>
      <c r="E205" s="10">
        <f>IF(B205="", "", MIN(C205+D205, MAX(P205, $F$3 - SUMIFS(E$10:E204, O$10:O204, O205) - SUMIFS(P206:P$1995, O206:O$1995, O205))))</f>
        <v>120</v>
      </c>
      <c r="F205" s="10">
        <f t="shared" si="12"/>
        <v>723.65</v>
      </c>
      <c r="G205" s="19" t="str">
        <f t="shared" si="13"/>
        <v>Active</v>
      </c>
      <c r="H205" s="20"/>
      <c r="O205" s="68">
        <f t="shared" si="14"/>
        <v>33</v>
      </c>
      <c r="P205" s="68">
        <f>IF(B205="", 0, IFERROR(MIN(C205+D205, VLOOKUP(B205, '💳 Debt Input'!$A:$G, 4, FALSE)), 0))</f>
        <v>120</v>
      </c>
    </row>
    <row r="206" spans="1:16" ht="18" customHeight="1" x14ac:dyDescent="0.35">
      <c r="A206" s="47"/>
      <c r="B206" s="8" t="str">
        <f>'💳 Debt Input'!$A$6</f>
        <v>Personal Loan</v>
      </c>
      <c r="C206" s="10">
        <f t="shared" si="11"/>
        <v>375.24</v>
      </c>
      <c r="D206" s="10">
        <f>ROUND(C206*'💳 Debt Input'!$C$6/12,2)</f>
        <v>1.88</v>
      </c>
      <c r="E206" s="10">
        <f>IF(B206="", "", MIN(C206+D206, MAX(P206, $F$3 - SUMIFS(E$10:E205, O$10:O205, O206) - SUMIFS(P207:P$1995, O207:O$1995, O206))))</f>
        <v>40</v>
      </c>
      <c r="F206" s="10">
        <f t="shared" si="12"/>
        <v>337.12</v>
      </c>
      <c r="G206" s="19" t="str">
        <f t="shared" si="13"/>
        <v>Active</v>
      </c>
      <c r="H206" s="20"/>
      <c r="O206" s="68">
        <f t="shared" si="14"/>
        <v>33</v>
      </c>
      <c r="P206" s="68">
        <f>IF(B206="", 0, IFERROR(MIN(C206+D206, VLOOKUP(B206, '💳 Debt Input'!$A:$G, 4, FALSE)), 0))</f>
        <v>40</v>
      </c>
    </row>
    <row r="207" spans="1:16" ht="18" customHeight="1" x14ac:dyDescent="0.35">
      <c r="A207" s="52"/>
      <c r="B207" s="26" t="str">
        <f>'💳 Debt Input'!$A$5</f>
        <v>Medical Bill</v>
      </c>
      <c r="C207" s="27">
        <f t="shared" si="11"/>
        <v>0</v>
      </c>
      <c r="D207" s="27">
        <f>ROUND(C207*'💳 Debt Input'!$C$5/12,2)</f>
        <v>0</v>
      </c>
      <c r="E207" s="27">
        <f>IF(B207="", "", MIN(C207+D207, MAX(P207, $F$3 - SUMIFS(E$10:E206, O$10:O206, O207) - SUMIFS(P208:P$1995, O208:O$1995, O207))))</f>
        <v>0</v>
      </c>
      <c r="F207" s="27">
        <f t="shared" si="12"/>
        <v>0</v>
      </c>
      <c r="G207" s="28" t="str">
        <f t="shared" si="13"/>
        <v>Paid off</v>
      </c>
      <c r="H207" s="29"/>
      <c r="O207" s="68">
        <f t="shared" si="14"/>
        <v>33</v>
      </c>
      <c r="P207" s="68">
        <f>IF(B207="", 0, IFERROR(MIN(C207+D207, VLOOKUP(B207, '💳 Debt Input'!$A:$G, 4, FALSE)), 0))</f>
        <v>0</v>
      </c>
    </row>
    <row r="208" spans="1:16" ht="18" customHeight="1" x14ac:dyDescent="0.35">
      <c r="A208" s="52"/>
      <c r="B208" s="26" t="str">
        <f>'💳 Debt Input'!$A$4</f>
        <v>Store Card</v>
      </c>
      <c r="C208" s="27">
        <f t="shared" si="11"/>
        <v>0</v>
      </c>
      <c r="D208" s="27">
        <f>ROUND(C208*'💳 Debt Input'!$C$4/12,2)</f>
        <v>0</v>
      </c>
      <c r="E208" s="27">
        <f>IF(B208="", "", MIN(C208+D208, MAX(P208, $F$3 - SUMIFS(E$10:E207, O$10:O207, O208) - SUMIFS(P209:P$1995, O209:O$1995, O208))))</f>
        <v>0</v>
      </c>
      <c r="F208" s="27">
        <f t="shared" si="12"/>
        <v>0</v>
      </c>
      <c r="G208" s="28" t="str">
        <f t="shared" si="13"/>
        <v>Paid off</v>
      </c>
      <c r="H208" s="29"/>
      <c r="O208" s="68">
        <f t="shared" si="14"/>
        <v>33</v>
      </c>
      <c r="P208" s="68">
        <f>IF(B208="", 0, IFERROR(MIN(C208+D208, VLOOKUP(B208, '💳 Debt Input'!$A:$G, 4, FALSE)), 0))</f>
        <v>0</v>
      </c>
    </row>
    <row r="209" spans="1:16" ht="18" customHeight="1" x14ac:dyDescent="0.35">
      <c r="A209" s="48">
        <v>34</v>
      </c>
      <c r="B209" s="6" t="str">
        <f>'💳 Debt Input'!$A$9</f>
        <v>Rewards Visa</v>
      </c>
      <c r="C209" s="12">
        <f t="shared" ref="C209:C272" si="15">F203</f>
        <v>14728.92</v>
      </c>
      <c r="D209" s="12">
        <f>ROUND(C209*'💳 Debt Input'!$C$9/12,2)</f>
        <v>441.87</v>
      </c>
      <c r="E209" s="12">
        <f>IF(B209="", "", MIN(C209+D209, MAX(P209, $F$3 - SUMIFS(E$10:E208, O$10:O208, O209) - SUMIFS(P210:P$1995, O210:O$1995, O209))))</f>
        <v>530</v>
      </c>
      <c r="F209" s="12">
        <f t="shared" si="12"/>
        <v>14640.79</v>
      </c>
      <c r="G209" s="22" t="str">
        <f t="shared" si="13"/>
        <v>Active</v>
      </c>
      <c r="H209" s="23"/>
      <c r="O209" s="68">
        <f t="shared" si="14"/>
        <v>34</v>
      </c>
      <c r="P209" s="68">
        <f>IF(B209="", 0, IFERROR(MIN(C209+D209, VLOOKUP(B209, '💳 Debt Input'!$A:$G, 4, FALSE)), 0))</f>
        <v>480</v>
      </c>
    </row>
    <row r="210" spans="1:16" ht="18" customHeight="1" x14ac:dyDescent="0.35">
      <c r="A210" s="49"/>
      <c r="B210" s="6" t="str">
        <f>'💳 Debt Input'!$A$8</f>
        <v>Travel Card</v>
      </c>
      <c r="C210" s="12">
        <f t="shared" si="15"/>
        <v>3289.7</v>
      </c>
      <c r="D210" s="12">
        <f>ROUND(C210*'💳 Debt Input'!$C$8/12,2)</f>
        <v>49.35</v>
      </c>
      <c r="E210" s="12">
        <f>IF(B210="", "", MIN(C210+D210, MAX(P210, $F$3 - SUMIFS(E$10:E209, O$10:O209, O210) - SUMIFS(P211:P$1995, O211:O$1995, O210))))</f>
        <v>270</v>
      </c>
      <c r="F210" s="12">
        <f t="shared" si="12"/>
        <v>3069.05</v>
      </c>
      <c r="G210" s="22" t="str">
        <f t="shared" si="13"/>
        <v>Active</v>
      </c>
      <c r="H210" s="23"/>
      <c r="O210" s="68">
        <f t="shared" si="14"/>
        <v>34</v>
      </c>
      <c r="P210" s="68">
        <f>IF(B210="", 0, IFERROR(MIN(C210+D210, VLOOKUP(B210, '💳 Debt Input'!$A:$G, 4, FALSE)), 0))</f>
        <v>270</v>
      </c>
    </row>
    <row r="211" spans="1:16" ht="18" customHeight="1" x14ac:dyDescent="0.35">
      <c r="A211" s="49"/>
      <c r="B211" s="6" t="str">
        <f>'💳 Debt Input'!$A$7</f>
        <v>Auto Loan</v>
      </c>
      <c r="C211" s="12">
        <f t="shared" si="15"/>
        <v>723.65</v>
      </c>
      <c r="D211" s="12">
        <f>ROUND(C211*'💳 Debt Input'!$C$7/12,2)</f>
        <v>6.03</v>
      </c>
      <c r="E211" s="12">
        <f>IF(B211="", "", MIN(C211+D211, MAX(P211, $F$3 - SUMIFS(E$10:E210, O$10:O210, O211) - SUMIFS(P212:P$1995, O212:O$1995, O211))))</f>
        <v>120</v>
      </c>
      <c r="F211" s="12">
        <f t="shared" si="12"/>
        <v>609.67999999999995</v>
      </c>
      <c r="G211" s="22" t="str">
        <f t="shared" si="13"/>
        <v>Active</v>
      </c>
      <c r="H211" s="23"/>
      <c r="O211" s="68">
        <f t="shared" si="14"/>
        <v>34</v>
      </c>
      <c r="P211" s="68">
        <f>IF(B211="", 0, IFERROR(MIN(C211+D211, VLOOKUP(B211, '💳 Debt Input'!$A:$G, 4, FALSE)), 0))</f>
        <v>120</v>
      </c>
    </row>
    <row r="212" spans="1:16" ht="18" customHeight="1" x14ac:dyDescent="0.35">
      <c r="A212" s="49"/>
      <c r="B212" s="6" t="str">
        <f>'💳 Debt Input'!$A$6</f>
        <v>Personal Loan</v>
      </c>
      <c r="C212" s="12">
        <f t="shared" si="15"/>
        <v>337.12</v>
      </c>
      <c r="D212" s="12">
        <f>ROUND(C212*'💳 Debt Input'!$C$6/12,2)</f>
        <v>1.69</v>
      </c>
      <c r="E212" s="12">
        <f>IF(B212="", "", MIN(C212+D212, MAX(P212, $F$3 - SUMIFS(E$10:E211, O$10:O211, O212) - SUMIFS(P213:P$1995, O213:O$1995, O212))))</f>
        <v>40</v>
      </c>
      <c r="F212" s="12">
        <f t="shared" si="12"/>
        <v>298.81</v>
      </c>
      <c r="G212" s="22" t="str">
        <f t="shared" si="13"/>
        <v>Active</v>
      </c>
      <c r="H212" s="23"/>
      <c r="O212" s="68">
        <f t="shared" si="14"/>
        <v>34</v>
      </c>
      <c r="P212" s="68">
        <f>IF(B212="", 0, IFERROR(MIN(C212+D212, VLOOKUP(B212, '💳 Debt Input'!$A:$G, 4, FALSE)), 0))</f>
        <v>40</v>
      </c>
    </row>
    <row r="213" spans="1:16" ht="18" customHeight="1" x14ac:dyDescent="0.35">
      <c r="A213" s="52"/>
      <c r="B213" s="26" t="str">
        <f>'💳 Debt Input'!$A$5</f>
        <v>Medical Bill</v>
      </c>
      <c r="C213" s="27">
        <f t="shared" si="15"/>
        <v>0</v>
      </c>
      <c r="D213" s="27">
        <f>ROUND(C213*'💳 Debt Input'!$C$5/12,2)</f>
        <v>0</v>
      </c>
      <c r="E213" s="27">
        <f>IF(B213="", "", MIN(C213+D213, MAX(P213, $F$3 - SUMIFS(E$10:E212, O$10:O212, O213) - SUMIFS(P214:P$1995, O214:O$1995, O213))))</f>
        <v>0</v>
      </c>
      <c r="F213" s="27">
        <f t="shared" si="12"/>
        <v>0</v>
      </c>
      <c r="G213" s="28" t="str">
        <f t="shared" si="13"/>
        <v>Paid off</v>
      </c>
      <c r="H213" s="29"/>
      <c r="O213" s="68">
        <f t="shared" si="14"/>
        <v>34</v>
      </c>
      <c r="P213" s="68">
        <f>IF(B213="", 0, IFERROR(MIN(C213+D213, VLOOKUP(B213, '💳 Debt Input'!$A:$G, 4, FALSE)), 0))</f>
        <v>0</v>
      </c>
    </row>
    <row r="214" spans="1:16" ht="18" customHeight="1" x14ac:dyDescent="0.35">
      <c r="A214" s="52"/>
      <c r="B214" s="26" t="str">
        <f>'💳 Debt Input'!$A$4</f>
        <v>Store Card</v>
      </c>
      <c r="C214" s="27">
        <f t="shared" si="15"/>
        <v>0</v>
      </c>
      <c r="D214" s="27">
        <f>ROUND(C214*'💳 Debt Input'!$C$4/12,2)</f>
        <v>0</v>
      </c>
      <c r="E214" s="27">
        <f>IF(B214="", "", MIN(C214+D214, MAX(P214, $F$3 - SUMIFS(E$10:E213, O$10:O213, O214) - SUMIFS(P215:P$1995, O215:O$1995, O214))))</f>
        <v>0</v>
      </c>
      <c r="F214" s="27">
        <f t="shared" si="12"/>
        <v>0</v>
      </c>
      <c r="G214" s="28" t="str">
        <f t="shared" si="13"/>
        <v>Paid off</v>
      </c>
      <c r="H214" s="29"/>
      <c r="O214" s="68">
        <f t="shared" si="14"/>
        <v>34</v>
      </c>
      <c r="P214" s="68">
        <f>IF(B214="", 0, IFERROR(MIN(C214+D214, VLOOKUP(B214, '💳 Debt Input'!$A:$G, 4, FALSE)), 0))</f>
        <v>0</v>
      </c>
    </row>
    <row r="215" spans="1:16" ht="18" customHeight="1" x14ac:dyDescent="0.35">
      <c r="A215" s="50">
        <v>35</v>
      </c>
      <c r="B215" s="8" t="str">
        <f>'💳 Debt Input'!$A$9</f>
        <v>Rewards Visa</v>
      </c>
      <c r="C215" s="10">
        <f t="shared" si="15"/>
        <v>14640.79</v>
      </c>
      <c r="D215" s="10">
        <f>ROUND(C215*'💳 Debt Input'!$C$9/12,2)</f>
        <v>439.22</v>
      </c>
      <c r="E215" s="10">
        <f>IF(B215="", "", MIN(C215+D215, MAX(P215, $F$3 - SUMIFS(E$10:E214, O$10:O214, O215) - SUMIFS(P216:P$1995, O216:O$1995, O215))))</f>
        <v>530</v>
      </c>
      <c r="F215" s="10">
        <f t="shared" si="12"/>
        <v>14550.01</v>
      </c>
      <c r="G215" s="19" t="str">
        <f t="shared" si="13"/>
        <v>Active</v>
      </c>
      <c r="H215" s="20"/>
      <c r="O215" s="68">
        <f t="shared" si="14"/>
        <v>35</v>
      </c>
      <c r="P215" s="68">
        <f>IF(B215="", 0, IFERROR(MIN(C215+D215, VLOOKUP(B215, '💳 Debt Input'!$A:$G, 4, FALSE)), 0))</f>
        <v>480</v>
      </c>
    </row>
    <row r="216" spans="1:16" ht="18" customHeight="1" x14ac:dyDescent="0.35">
      <c r="A216" s="47"/>
      <c r="B216" s="8" t="str">
        <f>'💳 Debt Input'!$A$8</f>
        <v>Travel Card</v>
      </c>
      <c r="C216" s="10">
        <f t="shared" si="15"/>
        <v>3069.05</v>
      </c>
      <c r="D216" s="10">
        <f>ROUND(C216*'💳 Debt Input'!$C$8/12,2)</f>
        <v>46.04</v>
      </c>
      <c r="E216" s="10">
        <f>IF(B216="", "", MIN(C216+D216, MAX(P216, $F$3 - SUMIFS(E$10:E215, O$10:O215, O216) - SUMIFS(P217:P$1995, O217:O$1995, O216))))</f>
        <v>270</v>
      </c>
      <c r="F216" s="10">
        <f t="shared" si="12"/>
        <v>2845.09</v>
      </c>
      <c r="G216" s="19" t="str">
        <f t="shared" si="13"/>
        <v>Active</v>
      </c>
      <c r="H216" s="20"/>
      <c r="O216" s="68">
        <f t="shared" si="14"/>
        <v>35</v>
      </c>
      <c r="P216" s="68">
        <f>IF(B216="", 0, IFERROR(MIN(C216+D216, VLOOKUP(B216, '💳 Debt Input'!$A:$G, 4, FALSE)), 0))</f>
        <v>270</v>
      </c>
    </row>
    <row r="217" spans="1:16" ht="18" customHeight="1" x14ac:dyDescent="0.35">
      <c r="A217" s="47"/>
      <c r="B217" s="8" t="str">
        <f>'💳 Debt Input'!$A$7</f>
        <v>Auto Loan</v>
      </c>
      <c r="C217" s="10">
        <f t="shared" si="15"/>
        <v>609.67999999999995</v>
      </c>
      <c r="D217" s="10">
        <f>ROUND(C217*'💳 Debt Input'!$C$7/12,2)</f>
        <v>5.08</v>
      </c>
      <c r="E217" s="10">
        <f>IF(B217="", "", MIN(C217+D217, MAX(P217, $F$3 - SUMIFS(E$10:E216, O$10:O216, O217) - SUMIFS(P218:P$1995, O218:O$1995, O217))))</f>
        <v>120</v>
      </c>
      <c r="F217" s="10">
        <f t="shared" si="12"/>
        <v>494.76</v>
      </c>
      <c r="G217" s="19" t="str">
        <f t="shared" si="13"/>
        <v>Active</v>
      </c>
      <c r="H217" s="20"/>
      <c r="O217" s="68">
        <f t="shared" si="14"/>
        <v>35</v>
      </c>
      <c r="P217" s="68">
        <f>IF(B217="", 0, IFERROR(MIN(C217+D217, VLOOKUP(B217, '💳 Debt Input'!$A:$G, 4, FALSE)), 0))</f>
        <v>120</v>
      </c>
    </row>
    <row r="218" spans="1:16" ht="18" customHeight="1" x14ac:dyDescent="0.35">
      <c r="A218" s="47"/>
      <c r="B218" s="8" t="str">
        <f>'💳 Debt Input'!$A$6</f>
        <v>Personal Loan</v>
      </c>
      <c r="C218" s="10">
        <f t="shared" si="15"/>
        <v>298.81</v>
      </c>
      <c r="D218" s="10">
        <f>ROUND(C218*'💳 Debt Input'!$C$6/12,2)</f>
        <v>1.49</v>
      </c>
      <c r="E218" s="10">
        <f>IF(B218="", "", MIN(C218+D218, MAX(P218, $F$3 - SUMIFS(E$10:E217, O$10:O217, O218) - SUMIFS(P219:P$1995, O219:O$1995, O218))))</f>
        <v>40</v>
      </c>
      <c r="F218" s="10">
        <f t="shared" si="12"/>
        <v>260.3</v>
      </c>
      <c r="G218" s="19" t="str">
        <f t="shared" si="13"/>
        <v>Active</v>
      </c>
      <c r="H218" s="20"/>
      <c r="O218" s="68">
        <f t="shared" si="14"/>
        <v>35</v>
      </c>
      <c r="P218" s="68">
        <f>IF(B218="", 0, IFERROR(MIN(C218+D218, VLOOKUP(B218, '💳 Debt Input'!$A:$G, 4, FALSE)), 0))</f>
        <v>40</v>
      </c>
    </row>
    <row r="219" spans="1:16" ht="18" customHeight="1" x14ac:dyDescent="0.35">
      <c r="A219" s="52"/>
      <c r="B219" s="26" t="str">
        <f>'💳 Debt Input'!$A$5</f>
        <v>Medical Bill</v>
      </c>
      <c r="C219" s="27">
        <f t="shared" si="15"/>
        <v>0</v>
      </c>
      <c r="D219" s="27">
        <f>ROUND(C219*'💳 Debt Input'!$C$5/12,2)</f>
        <v>0</v>
      </c>
      <c r="E219" s="27">
        <f>IF(B219="", "", MIN(C219+D219, MAX(P219, $F$3 - SUMIFS(E$10:E218, O$10:O218, O219) - SUMIFS(P220:P$1995, O220:O$1995, O219))))</f>
        <v>0</v>
      </c>
      <c r="F219" s="27">
        <f t="shared" si="12"/>
        <v>0</v>
      </c>
      <c r="G219" s="28" t="str">
        <f t="shared" si="13"/>
        <v>Paid off</v>
      </c>
      <c r="H219" s="29"/>
      <c r="O219" s="68">
        <f t="shared" si="14"/>
        <v>35</v>
      </c>
      <c r="P219" s="68">
        <f>IF(B219="", 0, IFERROR(MIN(C219+D219, VLOOKUP(B219, '💳 Debt Input'!$A:$G, 4, FALSE)), 0))</f>
        <v>0</v>
      </c>
    </row>
    <row r="220" spans="1:16" ht="18" customHeight="1" x14ac:dyDescent="0.35">
      <c r="A220" s="52"/>
      <c r="B220" s="26" t="str">
        <f>'💳 Debt Input'!$A$4</f>
        <v>Store Card</v>
      </c>
      <c r="C220" s="27">
        <f t="shared" si="15"/>
        <v>0</v>
      </c>
      <c r="D220" s="27">
        <f>ROUND(C220*'💳 Debt Input'!$C$4/12,2)</f>
        <v>0</v>
      </c>
      <c r="E220" s="27">
        <f>IF(B220="", "", MIN(C220+D220, MAX(P220, $F$3 - SUMIFS(E$10:E219, O$10:O219, O220) - SUMIFS(P221:P$1995, O221:O$1995, O220))))</f>
        <v>0</v>
      </c>
      <c r="F220" s="27">
        <f t="shared" si="12"/>
        <v>0</v>
      </c>
      <c r="G220" s="28" t="str">
        <f t="shared" si="13"/>
        <v>Paid off</v>
      </c>
      <c r="H220" s="29"/>
      <c r="O220" s="68">
        <f t="shared" si="14"/>
        <v>35</v>
      </c>
      <c r="P220" s="68">
        <f>IF(B220="", 0, IFERROR(MIN(C220+D220, VLOOKUP(B220, '💳 Debt Input'!$A:$G, 4, FALSE)), 0))</f>
        <v>0</v>
      </c>
    </row>
    <row r="221" spans="1:16" ht="18" customHeight="1" x14ac:dyDescent="0.35">
      <c r="A221" s="48">
        <v>36</v>
      </c>
      <c r="B221" s="6" t="str">
        <f>'💳 Debt Input'!$A$9</f>
        <v>Rewards Visa</v>
      </c>
      <c r="C221" s="12">
        <f t="shared" si="15"/>
        <v>14550.01</v>
      </c>
      <c r="D221" s="12">
        <f>ROUND(C221*'💳 Debt Input'!$C$9/12,2)</f>
        <v>436.5</v>
      </c>
      <c r="E221" s="12">
        <f>IF(B221="", "", MIN(C221+D221, MAX(P221, $F$3 - SUMIFS(E$10:E220, O$10:O220, O221) - SUMIFS(P222:P$1995, O222:O$1995, O221))))</f>
        <v>530</v>
      </c>
      <c r="F221" s="12">
        <f t="shared" si="12"/>
        <v>14456.51</v>
      </c>
      <c r="G221" s="22" t="str">
        <f t="shared" si="13"/>
        <v>Active</v>
      </c>
      <c r="H221" s="23"/>
      <c r="O221" s="68">
        <f t="shared" si="14"/>
        <v>36</v>
      </c>
      <c r="P221" s="68">
        <f>IF(B221="", 0, IFERROR(MIN(C221+D221, VLOOKUP(B221, '💳 Debt Input'!$A:$G, 4, FALSE)), 0))</f>
        <v>480</v>
      </c>
    </row>
    <row r="222" spans="1:16" ht="18" customHeight="1" x14ac:dyDescent="0.35">
      <c r="A222" s="49"/>
      <c r="B222" s="6" t="str">
        <f>'💳 Debt Input'!$A$8</f>
        <v>Travel Card</v>
      </c>
      <c r="C222" s="12">
        <f t="shared" si="15"/>
        <v>2845.09</v>
      </c>
      <c r="D222" s="12">
        <f>ROUND(C222*'💳 Debt Input'!$C$8/12,2)</f>
        <v>42.68</v>
      </c>
      <c r="E222" s="12">
        <f>IF(B222="", "", MIN(C222+D222, MAX(P222, $F$3 - SUMIFS(E$10:E221, O$10:O221, O222) - SUMIFS(P223:P$1995, O223:O$1995, O222))))</f>
        <v>270</v>
      </c>
      <c r="F222" s="12">
        <f t="shared" si="12"/>
        <v>2617.77</v>
      </c>
      <c r="G222" s="22" t="str">
        <f t="shared" si="13"/>
        <v>Active</v>
      </c>
      <c r="H222" s="23"/>
      <c r="O222" s="68">
        <f t="shared" si="14"/>
        <v>36</v>
      </c>
      <c r="P222" s="68">
        <f>IF(B222="", 0, IFERROR(MIN(C222+D222, VLOOKUP(B222, '💳 Debt Input'!$A:$G, 4, FALSE)), 0))</f>
        <v>270</v>
      </c>
    </row>
    <row r="223" spans="1:16" ht="18" customHeight="1" x14ac:dyDescent="0.35">
      <c r="A223" s="49"/>
      <c r="B223" s="6" t="str">
        <f>'💳 Debt Input'!$A$7</f>
        <v>Auto Loan</v>
      </c>
      <c r="C223" s="12">
        <f t="shared" si="15"/>
        <v>494.76</v>
      </c>
      <c r="D223" s="12">
        <f>ROUND(C223*'💳 Debt Input'!$C$7/12,2)</f>
        <v>4.12</v>
      </c>
      <c r="E223" s="12">
        <f>IF(B223="", "", MIN(C223+D223, MAX(P223, $F$3 - SUMIFS(E$10:E222, O$10:O222, O223) - SUMIFS(P224:P$1995, O224:O$1995, O223))))</f>
        <v>120</v>
      </c>
      <c r="F223" s="12">
        <f t="shared" si="12"/>
        <v>378.88</v>
      </c>
      <c r="G223" s="22" t="str">
        <f t="shared" si="13"/>
        <v>Active</v>
      </c>
      <c r="H223" s="23"/>
      <c r="O223" s="68">
        <f t="shared" si="14"/>
        <v>36</v>
      </c>
      <c r="P223" s="68">
        <f>IF(B223="", 0, IFERROR(MIN(C223+D223, VLOOKUP(B223, '💳 Debt Input'!$A:$G, 4, FALSE)), 0))</f>
        <v>120</v>
      </c>
    </row>
    <row r="224" spans="1:16" ht="18" customHeight="1" x14ac:dyDescent="0.35">
      <c r="A224" s="49"/>
      <c r="B224" s="6" t="str">
        <f>'💳 Debt Input'!$A$6</f>
        <v>Personal Loan</v>
      </c>
      <c r="C224" s="12">
        <f t="shared" si="15"/>
        <v>260.3</v>
      </c>
      <c r="D224" s="12">
        <f>ROUND(C224*'💳 Debt Input'!$C$6/12,2)</f>
        <v>1.3</v>
      </c>
      <c r="E224" s="12">
        <f>IF(B224="", "", MIN(C224+D224, MAX(P224, $F$3 - SUMIFS(E$10:E223, O$10:O223, O224) - SUMIFS(P225:P$1995, O225:O$1995, O224))))</f>
        <v>40</v>
      </c>
      <c r="F224" s="12">
        <f t="shared" si="12"/>
        <v>221.6</v>
      </c>
      <c r="G224" s="22" t="str">
        <f t="shared" si="13"/>
        <v>Active</v>
      </c>
      <c r="H224" s="23"/>
      <c r="O224" s="68">
        <f t="shared" si="14"/>
        <v>36</v>
      </c>
      <c r="P224" s="68">
        <f>IF(B224="", 0, IFERROR(MIN(C224+D224, VLOOKUP(B224, '💳 Debt Input'!$A:$G, 4, FALSE)), 0))</f>
        <v>40</v>
      </c>
    </row>
    <row r="225" spans="1:16" ht="18" customHeight="1" x14ac:dyDescent="0.35">
      <c r="A225" s="52"/>
      <c r="B225" s="26" t="str">
        <f>'💳 Debt Input'!$A$5</f>
        <v>Medical Bill</v>
      </c>
      <c r="C225" s="27">
        <f t="shared" si="15"/>
        <v>0</v>
      </c>
      <c r="D225" s="27">
        <f>ROUND(C225*'💳 Debt Input'!$C$5/12,2)</f>
        <v>0</v>
      </c>
      <c r="E225" s="27">
        <f>IF(B225="", "", MIN(C225+D225, MAX(P225, $F$3 - SUMIFS(E$10:E224, O$10:O224, O225) - SUMIFS(P226:P$1995, O226:O$1995, O225))))</f>
        <v>0</v>
      </c>
      <c r="F225" s="27">
        <f t="shared" si="12"/>
        <v>0</v>
      </c>
      <c r="G225" s="28" t="str">
        <f t="shared" si="13"/>
        <v>Paid off</v>
      </c>
      <c r="H225" s="29"/>
      <c r="O225" s="68">
        <f t="shared" si="14"/>
        <v>36</v>
      </c>
      <c r="P225" s="68">
        <f>IF(B225="", 0, IFERROR(MIN(C225+D225, VLOOKUP(B225, '💳 Debt Input'!$A:$G, 4, FALSE)), 0))</f>
        <v>0</v>
      </c>
    </row>
    <row r="226" spans="1:16" ht="18" customHeight="1" x14ac:dyDescent="0.35">
      <c r="A226" s="52"/>
      <c r="B226" s="26" t="str">
        <f>'💳 Debt Input'!$A$4</f>
        <v>Store Card</v>
      </c>
      <c r="C226" s="27">
        <f t="shared" si="15"/>
        <v>0</v>
      </c>
      <c r="D226" s="27">
        <f>ROUND(C226*'💳 Debt Input'!$C$4/12,2)</f>
        <v>0</v>
      </c>
      <c r="E226" s="27">
        <f>IF(B226="", "", MIN(C226+D226, MAX(P226, $F$3 - SUMIFS(E$10:E225, O$10:O225, O226) - SUMIFS(P227:P$1995, O227:O$1995, O226))))</f>
        <v>0</v>
      </c>
      <c r="F226" s="27">
        <f t="shared" si="12"/>
        <v>0</v>
      </c>
      <c r="G226" s="28" t="str">
        <f t="shared" si="13"/>
        <v>Paid off</v>
      </c>
      <c r="H226" s="29"/>
      <c r="O226" s="68">
        <f t="shared" si="14"/>
        <v>36</v>
      </c>
      <c r="P226" s="68">
        <f>IF(B226="", 0, IFERROR(MIN(C226+D226, VLOOKUP(B226, '💳 Debt Input'!$A:$G, 4, FALSE)), 0))</f>
        <v>0</v>
      </c>
    </row>
    <row r="227" spans="1:16" ht="18" customHeight="1" x14ac:dyDescent="0.35">
      <c r="A227" s="50">
        <v>37</v>
      </c>
      <c r="B227" s="8" t="str">
        <f>'💳 Debt Input'!$A$9</f>
        <v>Rewards Visa</v>
      </c>
      <c r="C227" s="10">
        <f t="shared" si="15"/>
        <v>14456.51</v>
      </c>
      <c r="D227" s="10">
        <f>ROUND(C227*'💳 Debt Input'!$C$9/12,2)</f>
        <v>433.7</v>
      </c>
      <c r="E227" s="10">
        <f>IF(B227="", "", MIN(C227+D227, MAX(P227, $F$3 - SUMIFS(E$10:E226, O$10:O226, O227) - SUMIFS(P228:P$1995, O228:O$1995, O227))))</f>
        <v>530</v>
      </c>
      <c r="F227" s="10">
        <f t="shared" si="12"/>
        <v>14360.21</v>
      </c>
      <c r="G227" s="19" t="str">
        <f t="shared" si="13"/>
        <v>Active</v>
      </c>
      <c r="H227" s="20"/>
      <c r="O227" s="68">
        <f t="shared" si="14"/>
        <v>37</v>
      </c>
      <c r="P227" s="68">
        <f>IF(B227="", 0, IFERROR(MIN(C227+D227, VLOOKUP(B227, '💳 Debt Input'!$A:$G, 4, FALSE)), 0))</f>
        <v>480</v>
      </c>
    </row>
    <row r="228" spans="1:16" ht="18" customHeight="1" x14ac:dyDescent="0.35">
      <c r="A228" s="47"/>
      <c r="B228" s="8" t="str">
        <f>'💳 Debt Input'!$A$8</f>
        <v>Travel Card</v>
      </c>
      <c r="C228" s="10">
        <f t="shared" si="15"/>
        <v>2617.77</v>
      </c>
      <c r="D228" s="10">
        <f>ROUND(C228*'💳 Debt Input'!$C$8/12,2)</f>
        <v>39.270000000000003</v>
      </c>
      <c r="E228" s="10">
        <f>IF(B228="", "", MIN(C228+D228, MAX(P228, $F$3 - SUMIFS(E$10:E227, O$10:O227, O228) - SUMIFS(P229:P$1995, O229:O$1995, O228))))</f>
        <v>270</v>
      </c>
      <c r="F228" s="10">
        <f t="shared" si="12"/>
        <v>2387.04</v>
      </c>
      <c r="G228" s="19" t="str">
        <f t="shared" si="13"/>
        <v>Active</v>
      </c>
      <c r="H228" s="20"/>
      <c r="O228" s="68">
        <f t="shared" si="14"/>
        <v>37</v>
      </c>
      <c r="P228" s="68">
        <f>IF(B228="", 0, IFERROR(MIN(C228+D228, VLOOKUP(B228, '💳 Debt Input'!$A:$G, 4, FALSE)), 0))</f>
        <v>270</v>
      </c>
    </row>
    <row r="229" spans="1:16" ht="18" customHeight="1" x14ac:dyDescent="0.35">
      <c r="A229" s="47"/>
      <c r="B229" s="8" t="str">
        <f>'💳 Debt Input'!$A$7</f>
        <v>Auto Loan</v>
      </c>
      <c r="C229" s="10">
        <f t="shared" si="15"/>
        <v>378.88</v>
      </c>
      <c r="D229" s="10">
        <f>ROUND(C229*'💳 Debt Input'!$C$7/12,2)</f>
        <v>3.16</v>
      </c>
      <c r="E229" s="10">
        <f>IF(B229="", "", MIN(C229+D229, MAX(P229, $F$3 - SUMIFS(E$10:E228, O$10:O228, O229) - SUMIFS(P230:P$1995, O230:O$1995, O229))))</f>
        <v>120</v>
      </c>
      <c r="F229" s="10">
        <f t="shared" si="12"/>
        <v>262.04000000000002</v>
      </c>
      <c r="G229" s="19" t="str">
        <f t="shared" si="13"/>
        <v>Active</v>
      </c>
      <c r="H229" s="20"/>
      <c r="O229" s="68">
        <f t="shared" si="14"/>
        <v>37</v>
      </c>
      <c r="P229" s="68">
        <f>IF(B229="", 0, IFERROR(MIN(C229+D229, VLOOKUP(B229, '💳 Debt Input'!$A:$G, 4, FALSE)), 0))</f>
        <v>120</v>
      </c>
    </row>
    <row r="230" spans="1:16" ht="18" customHeight="1" x14ac:dyDescent="0.35">
      <c r="A230" s="47"/>
      <c r="B230" s="8" t="str">
        <f>'💳 Debt Input'!$A$6</f>
        <v>Personal Loan</v>
      </c>
      <c r="C230" s="10">
        <f t="shared" si="15"/>
        <v>221.6</v>
      </c>
      <c r="D230" s="10">
        <f>ROUND(C230*'💳 Debt Input'!$C$6/12,2)</f>
        <v>1.1100000000000001</v>
      </c>
      <c r="E230" s="10">
        <f>IF(B230="", "", MIN(C230+D230, MAX(P230, $F$3 - SUMIFS(E$10:E229, O$10:O229, O230) - SUMIFS(P231:P$1995, O231:O$1995, O230))))</f>
        <v>40</v>
      </c>
      <c r="F230" s="10">
        <f t="shared" si="12"/>
        <v>182.71</v>
      </c>
      <c r="G230" s="19" t="str">
        <f t="shared" si="13"/>
        <v>Active</v>
      </c>
      <c r="H230" s="20"/>
      <c r="O230" s="68">
        <f t="shared" si="14"/>
        <v>37</v>
      </c>
      <c r="P230" s="68">
        <f>IF(B230="", 0, IFERROR(MIN(C230+D230, VLOOKUP(B230, '💳 Debt Input'!$A:$G, 4, FALSE)), 0))</f>
        <v>40</v>
      </c>
    </row>
    <row r="231" spans="1:16" ht="18" customHeight="1" x14ac:dyDescent="0.35">
      <c r="A231" s="52"/>
      <c r="B231" s="26" t="str">
        <f>'💳 Debt Input'!$A$5</f>
        <v>Medical Bill</v>
      </c>
      <c r="C231" s="27">
        <f t="shared" si="15"/>
        <v>0</v>
      </c>
      <c r="D231" s="27">
        <f>ROUND(C231*'💳 Debt Input'!$C$5/12,2)</f>
        <v>0</v>
      </c>
      <c r="E231" s="27">
        <f>IF(B231="", "", MIN(C231+D231, MAX(P231, $F$3 - SUMIFS(E$10:E230, O$10:O230, O231) - SUMIFS(P232:P$1995, O232:O$1995, O231))))</f>
        <v>0</v>
      </c>
      <c r="F231" s="27">
        <f t="shared" si="12"/>
        <v>0</v>
      </c>
      <c r="G231" s="28" t="str">
        <f t="shared" si="13"/>
        <v>Paid off</v>
      </c>
      <c r="H231" s="29"/>
      <c r="O231" s="68">
        <f t="shared" si="14"/>
        <v>37</v>
      </c>
      <c r="P231" s="68">
        <f>IF(B231="", 0, IFERROR(MIN(C231+D231, VLOOKUP(B231, '💳 Debt Input'!$A:$G, 4, FALSE)), 0))</f>
        <v>0</v>
      </c>
    </row>
    <row r="232" spans="1:16" ht="18" customHeight="1" x14ac:dyDescent="0.35">
      <c r="A232" s="52"/>
      <c r="B232" s="26" t="str">
        <f>'💳 Debt Input'!$A$4</f>
        <v>Store Card</v>
      </c>
      <c r="C232" s="27">
        <f t="shared" si="15"/>
        <v>0</v>
      </c>
      <c r="D232" s="27">
        <f>ROUND(C232*'💳 Debt Input'!$C$4/12,2)</f>
        <v>0</v>
      </c>
      <c r="E232" s="27">
        <f>IF(B232="", "", MIN(C232+D232, MAX(P232, $F$3 - SUMIFS(E$10:E231, O$10:O231, O232) - SUMIFS(P233:P$1995, O233:O$1995, O232))))</f>
        <v>0</v>
      </c>
      <c r="F232" s="27">
        <f t="shared" si="12"/>
        <v>0</v>
      </c>
      <c r="G232" s="28" t="str">
        <f t="shared" si="13"/>
        <v>Paid off</v>
      </c>
      <c r="H232" s="29"/>
      <c r="O232" s="68">
        <f t="shared" si="14"/>
        <v>37</v>
      </c>
      <c r="P232" s="68">
        <f>IF(B232="", 0, IFERROR(MIN(C232+D232, VLOOKUP(B232, '💳 Debt Input'!$A:$G, 4, FALSE)), 0))</f>
        <v>0</v>
      </c>
    </row>
    <row r="233" spans="1:16" ht="18" customHeight="1" x14ac:dyDescent="0.35">
      <c r="A233" s="48">
        <v>38</v>
      </c>
      <c r="B233" s="6" t="str">
        <f>'💳 Debt Input'!$A$9</f>
        <v>Rewards Visa</v>
      </c>
      <c r="C233" s="12">
        <f t="shared" si="15"/>
        <v>14360.21</v>
      </c>
      <c r="D233" s="12">
        <f>ROUND(C233*'💳 Debt Input'!$C$9/12,2)</f>
        <v>430.81</v>
      </c>
      <c r="E233" s="12">
        <f>IF(B233="", "", MIN(C233+D233, MAX(P233, $F$3 - SUMIFS(E$10:E232, O$10:O232, O233) - SUMIFS(P234:P$1995, O234:O$1995, O233))))</f>
        <v>530</v>
      </c>
      <c r="F233" s="12">
        <f t="shared" si="12"/>
        <v>14261.02</v>
      </c>
      <c r="G233" s="22" t="str">
        <f t="shared" si="13"/>
        <v>Active</v>
      </c>
      <c r="H233" s="23"/>
      <c r="O233" s="68">
        <f t="shared" si="14"/>
        <v>38</v>
      </c>
      <c r="P233" s="68">
        <f>IF(B233="", 0, IFERROR(MIN(C233+D233, VLOOKUP(B233, '💳 Debt Input'!$A:$G, 4, FALSE)), 0))</f>
        <v>480</v>
      </c>
    </row>
    <row r="234" spans="1:16" ht="18" customHeight="1" x14ac:dyDescent="0.35">
      <c r="A234" s="49"/>
      <c r="B234" s="6" t="str">
        <f>'💳 Debt Input'!$A$8</f>
        <v>Travel Card</v>
      </c>
      <c r="C234" s="12">
        <f t="shared" si="15"/>
        <v>2387.04</v>
      </c>
      <c r="D234" s="12">
        <f>ROUND(C234*'💳 Debt Input'!$C$8/12,2)</f>
        <v>35.81</v>
      </c>
      <c r="E234" s="12">
        <f>IF(B234="", "", MIN(C234+D234, MAX(P234, $F$3 - SUMIFS(E$10:E233, O$10:O233, O234) - SUMIFS(P235:P$1995, O235:O$1995, O234))))</f>
        <v>270</v>
      </c>
      <c r="F234" s="12">
        <f t="shared" si="12"/>
        <v>2152.85</v>
      </c>
      <c r="G234" s="22" t="str">
        <f t="shared" si="13"/>
        <v>Active</v>
      </c>
      <c r="H234" s="23"/>
      <c r="O234" s="68">
        <f t="shared" si="14"/>
        <v>38</v>
      </c>
      <c r="P234" s="68">
        <f>IF(B234="", 0, IFERROR(MIN(C234+D234, VLOOKUP(B234, '💳 Debt Input'!$A:$G, 4, FALSE)), 0))</f>
        <v>270</v>
      </c>
    </row>
    <row r="235" spans="1:16" ht="18" customHeight="1" x14ac:dyDescent="0.35">
      <c r="A235" s="49"/>
      <c r="B235" s="6" t="str">
        <f>'💳 Debt Input'!$A$7</f>
        <v>Auto Loan</v>
      </c>
      <c r="C235" s="12">
        <f t="shared" si="15"/>
        <v>262.04000000000002</v>
      </c>
      <c r="D235" s="12">
        <f>ROUND(C235*'💳 Debt Input'!$C$7/12,2)</f>
        <v>2.1800000000000002</v>
      </c>
      <c r="E235" s="12">
        <f>IF(B235="", "", MIN(C235+D235, MAX(P235, $F$3 - SUMIFS(E$10:E234, O$10:O234, O235) - SUMIFS(P236:P$1995, O236:O$1995, O235))))</f>
        <v>120</v>
      </c>
      <c r="F235" s="12">
        <f t="shared" si="12"/>
        <v>144.22</v>
      </c>
      <c r="G235" s="22" t="str">
        <f t="shared" si="13"/>
        <v>Active</v>
      </c>
      <c r="H235" s="23"/>
      <c r="O235" s="68">
        <f t="shared" si="14"/>
        <v>38</v>
      </c>
      <c r="P235" s="68">
        <f>IF(B235="", 0, IFERROR(MIN(C235+D235, VLOOKUP(B235, '💳 Debt Input'!$A:$G, 4, FALSE)), 0))</f>
        <v>120</v>
      </c>
    </row>
    <row r="236" spans="1:16" ht="18" customHeight="1" x14ac:dyDescent="0.35">
      <c r="A236" s="49"/>
      <c r="B236" s="6" t="str">
        <f>'💳 Debt Input'!$A$6</f>
        <v>Personal Loan</v>
      </c>
      <c r="C236" s="12">
        <f t="shared" si="15"/>
        <v>182.71</v>
      </c>
      <c r="D236" s="12">
        <f>ROUND(C236*'💳 Debt Input'!$C$6/12,2)</f>
        <v>0.91</v>
      </c>
      <c r="E236" s="12">
        <f>IF(B236="", "", MIN(C236+D236, MAX(P236, $F$3 - SUMIFS(E$10:E235, O$10:O235, O236) - SUMIFS(P237:P$1995, O237:O$1995, O236))))</f>
        <v>40</v>
      </c>
      <c r="F236" s="12">
        <f t="shared" si="12"/>
        <v>143.62</v>
      </c>
      <c r="G236" s="22" t="str">
        <f t="shared" si="13"/>
        <v>Active</v>
      </c>
      <c r="H236" s="23"/>
      <c r="O236" s="68">
        <f t="shared" si="14"/>
        <v>38</v>
      </c>
      <c r="P236" s="68">
        <f>IF(B236="", 0, IFERROR(MIN(C236+D236, VLOOKUP(B236, '💳 Debt Input'!$A:$G, 4, FALSE)), 0))</f>
        <v>40</v>
      </c>
    </row>
    <row r="237" spans="1:16" ht="18" customHeight="1" x14ac:dyDescent="0.35">
      <c r="A237" s="52"/>
      <c r="B237" s="26" t="str">
        <f>'💳 Debt Input'!$A$5</f>
        <v>Medical Bill</v>
      </c>
      <c r="C237" s="27">
        <f t="shared" si="15"/>
        <v>0</v>
      </c>
      <c r="D237" s="27">
        <f>ROUND(C237*'💳 Debt Input'!$C$5/12,2)</f>
        <v>0</v>
      </c>
      <c r="E237" s="27">
        <f>IF(B237="", "", MIN(C237+D237, MAX(P237, $F$3 - SUMIFS(E$10:E236, O$10:O236, O237) - SUMIFS(P238:P$1995, O238:O$1995, O237))))</f>
        <v>0</v>
      </c>
      <c r="F237" s="27">
        <f t="shared" si="12"/>
        <v>0</v>
      </c>
      <c r="G237" s="28" t="str">
        <f t="shared" si="13"/>
        <v>Paid off</v>
      </c>
      <c r="H237" s="29"/>
      <c r="O237" s="68">
        <f t="shared" si="14"/>
        <v>38</v>
      </c>
      <c r="P237" s="68">
        <f>IF(B237="", 0, IFERROR(MIN(C237+D237, VLOOKUP(B237, '💳 Debt Input'!$A:$G, 4, FALSE)), 0))</f>
        <v>0</v>
      </c>
    </row>
    <row r="238" spans="1:16" ht="18" customHeight="1" x14ac:dyDescent="0.35">
      <c r="A238" s="52"/>
      <c r="B238" s="26" t="str">
        <f>'💳 Debt Input'!$A$4</f>
        <v>Store Card</v>
      </c>
      <c r="C238" s="27">
        <f t="shared" si="15"/>
        <v>0</v>
      </c>
      <c r="D238" s="27">
        <f>ROUND(C238*'💳 Debt Input'!$C$4/12,2)</f>
        <v>0</v>
      </c>
      <c r="E238" s="27">
        <f>IF(B238="", "", MIN(C238+D238, MAX(P238, $F$3 - SUMIFS(E$10:E237, O$10:O237, O238) - SUMIFS(P239:P$1995, O239:O$1995, O238))))</f>
        <v>0</v>
      </c>
      <c r="F238" s="27">
        <f t="shared" si="12"/>
        <v>0</v>
      </c>
      <c r="G238" s="28" t="str">
        <f t="shared" si="13"/>
        <v>Paid off</v>
      </c>
      <c r="H238" s="29"/>
      <c r="O238" s="68">
        <f t="shared" si="14"/>
        <v>38</v>
      </c>
      <c r="P238" s="68">
        <f>IF(B238="", 0, IFERROR(MIN(C238+D238, VLOOKUP(B238, '💳 Debt Input'!$A:$G, 4, FALSE)), 0))</f>
        <v>0</v>
      </c>
    </row>
    <row r="239" spans="1:16" ht="18" customHeight="1" x14ac:dyDescent="0.35">
      <c r="A239" s="50">
        <v>39</v>
      </c>
      <c r="B239" s="8" t="str">
        <f>'💳 Debt Input'!$A$9</f>
        <v>Rewards Visa</v>
      </c>
      <c r="C239" s="10">
        <f t="shared" si="15"/>
        <v>14261.02</v>
      </c>
      <c r="D239" s="10">
        <f>ROUND(C239*'💳 Debt Input'!$C$9/12,2)</f>
        <v>427.83</v>
      </c>
      <c r="E239" s="10">
        <f>IF(B239="", "", MIN(C239+D239, MAX(P239, $F$3 - SUMIFS(E$10:E238, O$10:O238, O239) - SUMIFS(P240:P$1995, O240:O$1995, O239))))</f>
        <v>530</v>
      </c>
      <c r="F239" s="10">
        <f t="shared" si="12"/>
        <v>14158.85</v>
      </c>
      <c r="G239" s="19" t="str">
        <f t="shared" si="13"/>
        <v>Active</v>
      </c>
      <c r="H239" s="20"/>
      <c r="O239" s="68">
        <f t="shared" si="14"/>
        <v>39</v>
      </c>
      <c r="P239" s="68">
        <f>IF(B239="", 0, IFERROR(MIN(C239+D239, VLOOKUP(B239, '💳 Debt Input'!$A:$G, 4, FALSE)), 0))</f>
        <v>480</v>
      </c>
    </row>
    <row r="240" spans="1:16" ht="18" customHeight="1" x14ac:dyDescent="0.35">
      <c r="A240" s="47"/>
      <c r="B240" s="8" t="str">
        <f>'💳 Debt Input'!$A$8</f>
        <v>Travel Card</v>
      </c>
      <c r="C240" s="10">
        <f t="shared" si="15"/>
        <v>2152.85</v>
      </c>
      <c r="D240" s="10">
        <f>ROUND(C240*'💳 Debt Input'!$C$8/12,2)</f>
        <v>32.29</v>
      </c>
      <c r="E240" s="10">
        <f>IF(B240="", "", MIN(C240+D240, MAX(P240, $F$3 - SUMIFS(E$10:E239, O$10:O239, O240) - SUMIFS(P241:P$1995, O241:O$1995, O240))))</f>
        <v>270</v>
      </c>
      <c r="F240" s="10">
        <f t="shared" si="12"/>
        <v>1915.14</v>
      </c>
      <c r="G240" s="19" t="str">
        <f t="shared" si="13"/>
        <v>Active</v>
      </c>
      <c r="H240" s="20"/>
      <c r="O240" s="68">
        <f t="shared" si="14"/>
        <v>39</v>
      </c>
      <c r="P240" s="68">
        <f>IF(B240="", 0, IFERROR(MIN(C240+D240, VLOOKUP(B240, '💳 Debt Input'!$A:$G, 4, FALSE)), 0))</f>
        <v>270</v>
      </c>
    </row>
    <row r="241" spans="1:16" ht="18" customHeight="1" x14ac:dyDescent="0.35">
      <c r="A241" s="47"/>
      <c r="B241" s="8" t="str">
        <f>'💳 Debt Input'!$A$7</f>
        <v>Auto Loan</v>
      </c>
      <c r="C241" s="10">
        <f t="shared" si="15"/>
        <v>144.22</v>
      </c>
      <c r="D241" s="10">
        <f>ROUND(C241*'💳 Debt Input'!$C$7/12,2)</f>
        <v>1.2</v>
      </c>
      <c r="E241" s="10">
        <f>IF(B241="", "", MIN(C241+D241, MAX(P241, $F$3 - SUMIFS(E$10:E240, O$10:O240, O241) - SUMIFS(P242:P$1995, O242:O$1995, O241))))</f>
        <v>120</v>
      </c>
      <c r="F241" s="10">
        <f t="shared" si="12"/>
        <v>25.42</v>
      </c>
      <c r="G241" s="19" t="str">
        <f t="shared" si="13"/>
        <v>Active</v>
      </c>
      <c r="H241" s="20"/>
      <c r="O241" s="68">
        <f t="shared" si="14"/>
        <v>39</v>
      </c>
      <c r="P241" s="68">
        <f>IF(B241="", 0, IFERROR(MIN(C241+D241, VLOOKUP(B241, '💳 Debt Input'!$A:$G, 4, FALSE)), 0))</f>
        <v>120</v>
      </c>
    </row>
    <row r="242" spans="1:16" ht="18" customHeight="1" x14ac:dyDescent="0.35">
      <c r="A242" s="47"/>
      <c r="B242" s="8" t="str">
        <f>'💳 Debt Input'!$A$6</f>
        <v>Personal Loan</v>
      </c>
      <c r="C242" s="10">
        <f t="shared" si="15"/>
        <v>143.62</v>
      </c>
      <c r="D242" s="10">
        <f>ROUND(C242*'💳 Debt Input'!$C$6/12,2)</f>
        <v>0.72</v>
      </c>
      <c r="E242" s="10">
        <f>IF(B242="", "", MIN(C242+D242, MAX(P242, $F$3 - SUMIFS(E$10:E241, O$10:O241, O242) - SUMIFS(P243:P$1995, O243:O$1995, O242))))</f>
        <v>40</v>
      </c>
      <c r="F242" s="10">
        <f t="shared" si="12"/>
        <v>104.34</v>
      </c>
      <c r="G242" s="19" t="str">
        <f t="shared" si="13"/>
        <v>Active</v>
      </c>
      <c r="H242" s="20"/>
      <c r="O242" s="68">
        <f t="shared" si="14"/>
        <v>39</v>
      </c>
      <c r="P242" s="68">
        <f>IF(B242="", 0, IFERROR(MIN(C242+D242, VLOOKUP(B242, '💳 Debt Input'!$A:$G, 4, FALSE)), 0))</f>
        <v>40</v>
      </c>
    </row>
    <row r="243" spans="1:16" ht="18" customHeight="1" x14ac:dyDescent="0.35">
      <c r="A243" s="52"/>
      <c r="B243" s="26" t="str">
        <f>'💳 Debt Input'!$A$5</f>
        <v>Medical Bill</v>
      </c>
      <c r="C243" s="27">
        <f t="shared" si="15"/>
        <v>0</v>
      </c>
      <c r="D243" s="27">
        <f>ROUND(C243*'💳 Debt Input'!$C$5/12,2)</f>
        <v>0</v>
      </c>
      <c r="E243" s="27">
        <f>IF(B243="", "", MIN(C243+D243, MAX(P243, $F$3 - SUMIFS(E$10:E242, O$10:O242, O243) - SUMIFS(P244:P$1995, O244:O$1995, O243))))</f>
        <v>0</v>
      </c>
      <c r="F243" s="27">
        <f t="shared" si="12"/>
        <v>0</v>
      </c>
      <c r="G243" s="28" t="str">
        <f t="shared" si="13"/>
        <v>Paid off</v>
      </c>
      <c r="H243" s="29"/>
      <c r="O243" s="68">
        <f t="shared" si="14"/>
        <v>39</v>
      </c>
      <c r="P243" s="68">
        <f>IF(B243="", 0, IFERROR(MIN(C243+D243, VLOOKUP(B243, '💳 Debt Input'!$A:$G, 4, FALSE)), 0))</f>
        <v>0</v>
      </c>
    </row>
    <row r="244" spans="1:16" ht="18" customHeight="1" x14ac:dyDescent="0.35">
      <c r="A244" s="52"/>
      <c r="B244" s="26" t="str">
        <f>'💳 Debt Input'!$A$4</f>
        <v>Store Card</v>
      </c>
      <c r="C244" s="27">
        <f t="shared" si="15"/>
        <v>0</v>
      </c>
      <c r="D244" s="27">
        <f>ROUND(C244*'💳 Debt Input'!$C$4/12,2)</f>
        <v>0</v>
      </c>
      <c r="E244" s="27">
        <f>IF(B244="", "", MIN(C244+D244, MAX(P244, $F$3 - SUMIFS(E$10:E243, O$10:O243, O244) - SUMIFS(P245:P$1995, O245:O$1995, O244))))</f>
        <v>0</v>
      </c>
      <c r="F244" s="27">
        <f t="shared" si="12"/>
        <v>0</v>
      </c>
      <c r="G244" s="28" t="str">
        <f t="shared" si="13"/>
        <v>Paid off</v>
      </c>
      <c r="H244" s="29"/>
      <c r="O244" s="68">
        <f t="shared" si="14"/>
        <v>39</v>
      </c>
      <c r="P244" s="68">
        <f>IF(B244="", 0, IFERROR(MIN(C244+D244, VLOOKUP(B244, '💳 Debt Input'!$A:$G, 4, FALSE)), 0))</f>
        <v>0</v>
      </c>
    </row>
    <row r="245" spans="1:16" ht="18" customHeight="1" x14ac:dyDescent="0.35">
      <c r="A245" s="48">
        <v>40</v>
      </c>
      <c r="B245" s="6" t="str">
        <f>'💳 Debt Input'!$A$9</f>
        <v>Rewards Visa</v>
      </c>
      <c r="C245" s="12">
        <f t="shared" si="15"/>
        <v>14158.85</v>
      </c>
      <c r="D245" s="12">
        <f>ROUND(C245*'💳 Debt Input'!$C$9/12,2)</f>
        <v>424.77</v>
      </c>
      <c r="E245" s="12">
        <f>IF(B245="", "", MIN(C245+D245, MAX(P245, $F$3 - SUMIFS(E$10:E244, O$10:O244, O245) - SUMIFS(P246:P$1995, O246:O$1995, O245))))</f>
        <v>624.37</v>
      </c>
      <c r="F245" s="12">
        <f t="shared" si="12"/>
        <v>13959.25</v>
      </c>
      <c r="G245" s="22" t="str">
        <f t="shared" si="13"/>
        <v>Active</v>
      </c>
      <c r="H245" s="23"/>
      <c r="O245" s="68">
        <f t="shared" si="14"/>
        <v>40</v>
      </c>
      <c r="P245" s="68">
        <f>IF(B245="", 0, IFERROR(MIN(C245+D245, VLOOKUP(B245, '💳 Debt Input'!$A:$G, 4, FALSE)), 0))</f>
        <v>480</v>
      </c>
    </row>
    <row r="246" spans="1:16" ht="18" customHeight="1" x14ac:dyDescent="0.35">
      <c r="A246" s="49"/>
      <c r="B246" s="6" t="str">
        <f>'💳 Debt Input'!$A$8</f>
        <v>Travel Card</v>
      </c>
      <c r="C246" s="12">
        <f t="shared" si="15"/>
        <v>1915.14</v>
      </c>
      <c r="D246" s="12">
        <f>ROUND(C246*'💳 Debt Input'!$C$8/12,2)</f>
        <v>28.73</v>
      </c>
      <c r="E246" s="12">
        <f>IF(B246="", "", MIN(C246+D246, MAX(P246, $F$3 - SUMIFS(E$10:E245, O$10:O245, O246) - SUMIFS(P247:P$1995, O247:O$1995, O246))))</f>
        <v>270</v>
      </c>
      <c r="F246" s="12">
        <f t="shared" si="12"/>
        <v>1673.87</v>
      </c>
      <c r="G246" s="22" t="str">
        <f t="shared" si="13"/>
        <v>Active</v>
      </c>
      <c r="H246" s="23"/>
      <c r="O246" s="68">
        <f t="shared" si="14"/>
        <v>40</v>
      </c>
      <c r="P246" s="68">
        <f>IF(B246="", 0, IFERROR(MIN(C246+D246, VLOOKUP(B246, '💳 Debt Input'!$A:$G, 4, FALSE)), 0))</f>
        <v>270</v>
      </c>
    </row>
    <row r="247" spans="1:16" ht="18" customHeight="1" x14ac:dyDescent="0.35">
      <c r="A247" s="52"/>
      <c r="B247" s="26" t="str">
        <f>'💳 Debt Input'!$A$7</f>
        <v>Auto Loan</v>
      </c>
      <c r="C247" s="27">
        <f t="shared" si="15"/>
        <v>25.42</v>
      </c>
      <c r="D247" s="27">
        <f>ROUND(C247*'💳 Debt Input'!$C$7/12,2)</f>
        <v>0.21</v>
      </c>
      <c r="E247" s="27">
        <f>IF(B247="", "", MIN(C247+D247, MAX(P247, $F$3 - SUMIFS(E$10:E246, O$10:O246, O247) - SUMIFS(P248:P$1995, O248:O$1995, O247))))</f>
        <v>25.630000000000003</v>
      </c>
      <c r="F247" s="27">
        <f t="shared" si="12"/>
        <v>0</v>
      </c>
      <c r="G247" s="28" t="str">
        <f t="shared" si="13"/>
        <v>Paid off</v>
      </c>
      <c r="H247" s="26"/>
      <c r="O247" s="68">
        <f t="shared" si="14"/>
        <v>40</v>
      </c>
      <c r="P247" s="68">
        <f>IF(B247="", 0, IFERROR(MIN(C247+D247, VLOOKUP(B247, '💳 Debt Input'!$A:$G, 4, FALSE)), 0))</f>
        <v>25.630000000000003</v>
      </c>
    </row>
    <row r="248" spans="1:16" ht="18" customHeight="1" x14ac:dyDescent="0.35">
      <c r="A248" s="49"/>
      <c r="B248" s="6" t="str">
        <f>'💳 Debt Input'!$A$6</f>
        <v>Personal Loan</v>
      </c>
      <c r="C248" s="12">
        <f t="shared" si="15"/>
        <v>104.34</v>
      </c>
      <c r="D248" s="12">
        <f>ROUND(C248*'💳 Debt Input'!$C$6/12,2)</f>
        <v>0.52</v>
      </c>
      <c r="E248" s="12">
        <f>IF(B248="", "", MIN(C248+D248, MAX(P248, $F$3 - SUMIFS(E$10:E247, O$10:O247, O248) - SUMIFS(P249:P$1995, O249:O$1995, O248))))</f>
        <v>40</v>
      </c>
      <c r="F248" s="12">
        <f t="shared" si="12"/>
        <v>64.86</v>
      </c>
      <c r="G248" s="22" t="str">
        <f t="shared" si="13"/>
        <v>Active</v>
      </c>
      <c r="H248" s="23"/>
      <c r="O248" s="68">
        <f t="shared" si="14"/>
        <v>40</v>
      </c>
      <c r="P248" s="68">
        <f>IF(B248="", 0, IFERROR(MIN(C248+D248, VLOOKUP(B248, '💳 Debt Input'!$A:$G, 4, FALSE)), 0))</f>
        <v>40</v>
      </c>
    </row>
    <row r="249" spans="1:16" ht="18" customHeight="1" x14ac:dyDescent="0.35">
      <c r="A249" s="52"/>
      <c r="B249" s="26" t="str">
        <f>'💳 Debt Input'!$A$5</f>
        <v>Medical Bill</v>
      </c>
      <c r="C249" s="27">
        <f t="shared" si="15"/>
        <v>0</v>
      </c>
      <c r="D249" s="27">
        <f>ROUND(C249*'💳 Debt Input'!$C$5/12,2)</f>
        <v>0</v>
      </c>
      <c r="E249" s="27">
        <f>IF(B249="", "", MIN(C249+D249, MAX(P249, $F$3 - SUMIFS(E$10:E248, O$10:O248, O249) - SUMIFS(P250:P$1995, O250:O$1995, O249))))</f>
        <v>0</v>
      </c>
      <c r="F249" s="27">
        <f t="shared" si="12"/>
        <v>0</v>
      </c>
      <c r="G249" s="28" t="str">
        <f t="shared" si="13"/>
        <v>Paid off</v>
      </c>
      <c r="H249" s="29"/>
      <c r="O249" s="68">
        <f t="shared" si="14"/>
        <v>40</v>
      </c>
      <c r="P249" s="68">
        <f>IF(B249="", 0, IFERROR(MIN(C249+D249, VLOOKUP(B249, '💳 Debt Input'!$A:$G, 4, FALSE)), 0))</f>
        <v>0</v>
      </c>
    </row>
    <row r="250" spans="1:16" ht="18" customHeight="1" x14ac:dyDescent="0.35">
      <c r="A250" s="52"/>
      <c r="B250" s="26" t="str">
        <f>'💳 Debt Input'!$A$4</f>
        <v>Store Card</v>
      </c>
      <c r="C250" s="27">
        <f t="shared" si="15"/>
        <v>0</v>
      </c>
      <c r="D250" s="27">
        <f>ROUND(C250*'💳 Debt Input'!$C$4/12,2)</f>
        <v>0</v>
      </c>
      <c r="E250" s="27">
        <f>IF(B250="", "", MIN(C250+D250, MAX(P250, $F$3 - SUMIFS(E$10:E249, O$10:O249, O250) - SUMIFS(P251:P$1995, O251:O$1995, O250))))</f>
        <v>0</v>
      </c>
      <c r="F250" s="27">
        <f t="shared" si="12"/>
        <v>0</v>
      </c>
      <c r="G250" s="28" t="str">
        <f t="shared" si="13"/>
        <v>Paid off</v>
      </c>
      <c r="H250" s="29"/>
      <c r="O250" s="68">
        <f t="shared" si="14"/>
        <v>40</v>
      </c>
      <c r="P250" s="68">
        <f>IF(B250="", 0, IFERROR(MIN(C250+D250, VLOOKUP(B250, '💳 Debt Input'!$A:$G, 4, FALSE)), 0))</f>
        <v>0</v>
      </c>
    </row>
    <row r="251" spans="1:16" ht="18" customHeight="1" x14ac:dyDescent="0.35">
      <c r="A251" s="50">
        <v>41</v>
      </c>
      <c r="B251" s="8" t="str">
        <f>'💳 Debt Input'!$A$9</f>
        <v>Rewards Visa</v>
      </c>
      <c r="C251" s="10">
        <f t="shared" si="15"/>
        <v>13959.25</v>
      </c>
      <c r="D251" s="10">
        <f>ROUND(C251*'💳 Debt Input'!$C$9/12,2)</f>
        <v>418.78</v>
      </c>
      <c r="E251" s="10">
        <f>IF(B251="", "", MIN(C251+D251, MAX(P251, $F$3 - SUMIFS(E$10:E250, O$10:O250, O251) - SUMIFS(P252:P$1995, O252:O$1995, O251))))</f>
        <v>650</v>
      </c>
      <c r="F251" s="10">
        <f t="shared" si="12"/>
        <v>13728.03</v>
      </c>
      <c r="G251" s="19" t="str">
        <f t="shared" si="13"/>
        <v>Active</v>
      </c>
      <c r="H251" s="20"/>
      <c r="O251" s="68">
        <f t="shared" si="14"/>
        <v>41</v>
      </c>
      <c r="P251" s="68">
        <f>IF(B251="", 0, IFERROR(MIN(C251+D251, VLOOKUP(B251, '💳 Debt Input'!$A:$G, 4, FALSE)), 0))</f>
        <v>480</v>
      </c>
    </row>
    <row r="252" spans="1:16" ht="18" customHeight="1" x14ac:dyDescent="0.35">
      <c r="A252" s="47"/>
      <c r="B252" s="8" t="str">
        <f>'💳 Debt Input'!$A$8</f>
        <v>Travel Card</v>
      </c>
      <c r="C252" s="10">
        <f t="shared" si="15"/>
        <v>1673.87</v>
      </c>
      <c r="D252" s="10">
        <f>ROUND(C252*'💳 Debt Input'!$C$8/12,2)</f>
        <v>25.11</v>
      </c>
      <c r="E252" s="10">
        <f>IF(B252="", "", MIN(C252+D252, MAX(P252, $F$3 - SUMIFS(E$10:E251, O$10:O251, O252) - SUMIFS(P253:P$1995, O253:O$1995, O252))))</f>
        <v>270</v>
      </c>
      <c r="F252" s="10">
        <f t="shared" si="12"/>
        <v>1428.98</v>
      </c>
      <c r="G252" s="19" t="str">
        <f t="shared" si="13"/>
        <v>Active</v>
      </c>
      <c r="H252" s="20"/>
      <c r="O252" s="68">
        <f t="shared" si="14"/>
        <v>41</v>
      </c>
      <c r="P252" s="68">
        <f>IF(B252="", 0, IFERROR(MIN(C252+D252, VLOOKUP(B252, '💳 Debt Input'!$A:$G, 4, FALSE)), 0))</f>
        <v>270</v>
      </c>
    </row>
    <row r="253" spans="1:16" ht="18" customHeight="1" x14ac:dyDescent="0.35">
      <c r="A253" s="52"/>
      <c r="B253" s="26" t="str">
        <f>'💳 Debt Input'!$A$7</f>
        <v>Auto Loan</v>
      </c>
      <c r="C253" s="27">
        <f t="shared" si="15"/>
        <v>0</v>
      </c>
      <c r="D253" s="27">
        <f>ROUND(C253*'💳 Debt Input'!$C$7/12,2)</f>
        <v>0</v>
      </c>
      <c r="E253" s="27">
        <f>IF(B253="", "", MIN(C253+D253, MAX(P253, $F$3 - SUMIFS(E$10:E252, O$10:O252, O253) - SUMIFS(P254:P$1995, O254:O$1995, O253))))</f>
        <v>0</v>
      </c>
      <c r="F253" s="27">
        <f t="shared" si="12"/>
        <v>0</v>
      </c>
      <c r="G253" s="28" t="str">
        <f t="shared" si="13"/>
        <v>Paid off</v>
      </c>
      <c r="H253" s="29"/>
      <c r="O253" s="68">
        <f t="shared" si="14"/>
        <v>41</v>
      </c>
      <c r="P253" s="68">
        <f>IF(B253="", 0, IFERROR(MIN(C253+D253, VLOOKUP(B253, '💳 Debt Input'!$A:$G, 4, FALSE)), 0))</f>
        <v>0</v>
      </c>
    </row>
    <row r="254" spans="1:16" ht="18" customHeight="1" x14ac:dyDescent="0.35">
      <c r="A254" s="47"/>
      <c r="B254" s="8" t="str">
        <f>'💳 Debt Input'!$A$6</f>
        <v>Personal Loan</v>
      </c>
      <c r="C254" s="10">
        <f t="shared" si="15"/>
        <v>64.86</v>
      </c>
      <c r="D254" s="10">
        <f>ROUND(C254*'💳 Debt Input'!$C$6/12,2)</f>
        <v>0.32</v>
      </c>
      <c r="E254" s="10">
        <f>IF(B254="", "", MIN(C254+D254, MAX(P254, $F$3 - SUMIFS(E$10:E253, O$10:O253, O254) - SUMIFS(P255:P$1995, O255:O$1995, O254))))</f>
        <v>40</v>
      </c>
      <c r="F254" s="10">
        <f t="shared" si="12"/>
        <v>25.18</v>
      </c>
      <c r="G254" s="19" t="str">
        <f t="shared" si="13"/>
        <v>Active</v>
      </c>
      <c r="H254" s="20"/>
      <c r="O254" s="68">
        <f t="shared" si="14"/>
        <v>41</v>
      </c>
      <c r="P254" s="68">
        <f>IF(B254="", 0, IFERROR(MIN(C254+D254, VLOOKUP(B254, '💳 Debt Input'!$A:$G, 4, FALSE)), 0))</f>
        <v>40</v>
      </c>
    </row>
    <row r="255" spans="1:16" ht="18" customHeight="1" x14ac:dyDescent="0.35">
      <c r="A255" s="52"/>
      <c r="B255" s="26" t="str">
        <f>'💳 Debt Input'!$A$5</f>
        <v>Medical Bill</v>
      </c>
      <c r="C255" s="27">
        <f t="shared" si="15"/>
        <v>0</v>
      </c>
      <c r="D255" s="27">
        <f>ROUND(C255*'💳 Debt Input'!$C$5/12,2)</f>
        <v>0</v>
      </c>
      <c r="E255" s="27">
        <f>IF(B255="", "", MIN(C255+D255, MAX(P255, $F$3 - SUMIFS(E$10:E254, O$10:O254, O255) - SUMIFS(P256:P$1995, O256:O$1995, O255))))</f>
        <v>0</v>
      </c>
      <c r="F255" s="27">
        <f t="shared" si="12"/>
        <v>0</v>
      </c>
      <c r="G255" s="28" t="str">
        <f t="shared" si="13"/>
        <v>Paid off</v>
      </c>
      <c r="H255" s="29"/>
      <c r="O255" s="68">
        <f t="shared" si="14"/>
        <v>41</v>
      </c>
      <c r="P255" s="68">
        <f>IF(B255="", 0, IFERROR(MIN(C255+D255, VLOOKUP(B255, '💳 Debt Input'!$A:$G, 4, FALSE)), 0))</f>
        <v>0</v>
      </c>
    </row>
    <row r="256" spans="1:16" ht="18" customHeight="1" x14ac:dyDescent="0.35">
      <c r="A256" s="52"/>
      <c r="B256" s="26" t="str">
        <f>'💳 Debt Input'!$A$4</f>
        <v>Store Card</v>
      </c>
      <c r="C256" s="27">
        <f t="shared" si="15"/>
        <v>0</v>
      </c>
      <c r="D256" s="27">
        <f>ROUND(C256*'💳 Debt Input'!$C$4/12,2)</f>
        <v>0</v>
      </c>
      <c r="E256" s="27">
        <f>IF(B256="", "", MIN(C256+D256, MAX(P256, $F$3 - SUMIFS(E$10:E255, O$10:O255, O256) - SUMIFS(P257:P$1995, O257:O$1995, O256))))</f>
        <v>0</v>
      </c>
      <c r="F256" s="27">
        <f t="shared" si="12"/>
        <v>0</v>
      </c>
      <c r="G256" s="28" t="str">
        <f t="shared" si="13"/>
        <v>Paid off</v>
      </c>
      <c r="H256" s="29"/>
      <c r="O256" s="68">
        <f t="shared" si="14"/>
        <v>41</v>
      </c>
      <c r="P256" s="68">
        <f>IF(B256="", 0, IFERROR(MIN(C256+D256, VLOOKUP(B256, '💳 Debt Input'!$A:$G, 4, FALSE)), 0))</f>
        <v>0</v>
      </c>
    </row>
    <row r="257" spans="1:16" ht="18" customHeight="1" x14ac:dyDescent="0.35">
      <c r="A257" s="48">
        <v>42</v>
      </c>
      <c r="B257" s="6" t="str">
        <f>'💳 Debt Input'!$A$9</f>
        <v>Rewards Visa</v>
      </c>
      <c r="C257" s="12">
        <f t="shared" si="15"/>
        <v>13728.03</v>
      </c>
      <c r="D257" s="12">
        <f>ROUND(C257*'💳 Debt Input'!$C$9/12,2)</f>
        <v>411.84</v>
      </c>
      <c r="E257" s="12">
        <f>IF(B257="", "", MIN(C257+D257, MAX(P257, $F$3 - SUMIFS(E$10:E256, O$10:O256, O257) - SUMIFS(P258:P$1995, O258:O$1995, O257))))</f>
        <v>664.69</v>
      </c>
      <c r="F257" s="12">
        <f t="shared" si="12"/>
        <v>13475.18</v>
      </c>
      <c r="G257" s="22" t="str">
        <f t="shared" si="13"/>
        <v>Active</v>
      </c>
      <c r="H257" s="23"/>
      <c r="O257" s="68">
        <f t="shared" si="14"/>
        <v>42</v>
      </c>
      <c r="P257" s="68">
        <f>IF(B257="", 0, IFERROR(MIN(C257+D257, VLOOKUP(B257, '💳 Debt Input'!$A:$G, 4, FALSE)), 0))</f>
        <v>480</v>
      </c>
    </row>
    <row r="258" spans="1:16" ht="18" customHeight="1" x14ac:dyDescent="0.35">
      <c r="A258" s="49"/>
      <c r="B258" s="6" t="str">
        <f>'💳 Debt Input'!$A$8</f>
        <v>Travel Card</v>
      </c>
      <c r="C258" s="12">
        <f t="shared" si="15"/>
        <v>1428.98</v>
      </c>
      <c r="D258" s="12">
        <f>ROUND(C258*'💳 Debt Input'!$C$8/12,2)</f>
        <v>21.43</v>
      </c>
      <c r="E258" s="12">
        <f>IF(B258="", "", MIN(C258+D258, MAX(P258, $F$3 - SUMIFS(E$10:E257, O$10:O257, O258) - SUMIFS(P259:P$1995, O259:O$1995, O258))))</f>
        <v>270</v>
      </c>
      <c r="F258" s="12">
        <f t="shared" si="12"/>
        <v>1180.4100000000001</v>
      </c>
      <c r="G258" s="22" t="str">
        <f t="shared" si="13"/>
        <v>Active</v>
      </c>
      <c r="H258" s="23"/>
      <c r="O258" s="68">
        <f t="shared" si="14"/>
        <v>42</v>
      </c>
      <c r="P258" s="68">
        <f>IF(B258="", 0, IFERROR(MIN(C258+D258, VLOOKUP(B258, '💳 Debt Input'!$A:$G, 4, FALSE)), 0))</f>
        <v>270</v>
      </c>
    </row>
    <row r="259" spans="1:16" ht="18" customHeight="1" x14ac:dyDescent="0.35">
      <c r="A259" s="52"/>
      <c r="B259" s="26" t="str">
        <f>'💳 Debt Input'!$A$7</f>
        <v>Auto Loan</v>
      </c>
      <c r="C259" s="27">
        <f t="shared" si="15"/>
        <v>0</v>
      </c>
      <c r="D259" s="27">
        <f>ROUND(C259*'💳 Debt Input'!$C$7/12,2)</f>
        <v>0</v>
      </c>
      <c r="E259" s="27">
        <f>IF(B259="", "", MIN(C259+D259, MAX(P259, $F$3 - SUMIFS(E$10:E258, O$10:O258, O259) - SUMIFS(P260:P$1995, O260:O$1995, O259))))</f>
        <v>0</v>
      </c>
      <c r="F259" s="27">
        <f t="shared" si="12"/>
        <v>0</v>
      </c>
      <c r="G259" s="28" t="str">
        <f t="shared" si="13"/>
        <v>Paid off</v>
      </c>
      <c r="H259" s="29"/>
      <c r="O259" s="68">
        <f t="shared" si="14"/>
        <v>42</v>
      </c>
      <c r="P259" s="68">
        <f>IF(B259="", 0, IFERROR(MIN(C259+D259, VLOOKUP(B259, '💳 Debt Input'!$A:$G, 4, FALSE)), 0))</f>
        <v>0</v>
      </c>
    </row>
    <row r="260" spans="1:16" ht="18" customHeight="1" x14ac:dyDescent="0.35">
      <c r="A260" s="52"/>
      <c r="B260" s="26" t="str">
        <f>'💳 Debt Input'!$A$6</f>
        <v>Personal Loan</v>
      </c>
      <c r="C260" s="27">
        <f t="shared" si="15"/>
        <v>25.18</v>
      </c>
      <c r="D260" s="27">
        <f>ROUND(C260*'💳 Debt Input'!$C$6/12,2)</f>
        <v>0.13</v>
      </c>
      <c r="E260" s="27">
        <f>IF(B260="", "", MIN(C260+D260, MAX(P260, $F$3 - SUMIFS(E$10:E259, O$10:O259, O260) - SUMIFS(P261:P$1995, O261:O$1995, O260))))</f>
        <v>25.31</v>
      </c>
      <c r="F260" s="27">
        <f t="shared" si="12"/>
        <v>0</v>
      </c>
      <c r="G260" s="28" t="str">
        <f t="shared" si="13"/>
        <v>Paid off</v>
      </c>
      <c r="H260" s="26"/>
      <c r="O260" s="68">
        <f t="shared" si="14"/>
        <v>42</v>
      </c>
      <c r="P260" s="68">
        <f>IF(B260="", 0, IFERROR(MIN(C260+D260, VLOOKUP(B260, '💳 Debt Input'!$A:$G, 4, FALSE)), 0))</f>
        <v>25.31</v>
      </c>
    </row>
    <row r="261" spans="1:16" ht="18" customHeight="1" x14ac:dyDescent="0.35">
      <c r="A261" s="52"/>
      <c r="B261" s="26" t="str">
        <f>'💳 Debt Input'!$A$5</f>
        <v>Medical Bill</v>
      </c>
      <c r="C261" s="27">
        <f t="shared" si="15"/>
        <v>0</v>
      </c>
      <c r="D261" s="27">
        <f>ROUND(C261*'💳 Debt Input'!$C$5/12,2)</f>
        <v>0</v>
      </c>
      <c r="E261" s="27">
        <f>IF(B261="", "", MIN(C261+D261, MAX(P261, $F$3 - SUMIFS(E$10:E260, O$10:O260, O261) - SUMIFS(P262:P$1995, O262:O$1995, O261))))</f>
        <v>0</v>
      </c>
      <c r="F261" s="27">
        <f t="shared" si="12"/>
        <v>0</v>
      </c>
      <c r="G261" s="28" t="str">
        <f t="shared" si="13"/>
        <v>Paid off</v>
      </c>
      <c r="H261" s="29"/>
      <c r="O261" s="68">
        <f t="shared" si="14"/>
        <v>42</v>
      </c>
      <c r="P261" s="68">
        <f>IF(B261="", 0, IFERROR(MIN(C261+D261, VLOOKUP(B261, '💳 Debt Input'!$A:$G, 4, FALSE)), 0))</f>
        <v>0</v>
      </c>
    </row>
    <row r="262" spans="1:16" ht="18" customHeight="1" x14ac:dyDescent="0.35">
      <c r="A262" s="52"/>
      <c r="B262" s="26" t="str">
        <f>'💳 Debt Input'!$A$4</f>
        <v>Store Card</v>
      </c>
      <c r="C262" s="27">
        <f t="shared" si="15"/>
        <v>0</v>
      </c>
      <c r="D262" s="27">
        <f>ROUND(C262*'💳 Debt Input'!$C$4/12,2)</f>
        <v>0</v>
      </c>
      <c r="E262" s="27">
        <f>IF(B262="", "", MIN(C262+D262, MAX(P262, $F$3 - SUMIFS(E$10:E261, O$10:O261, O262) - SUMIFS(P263:P$1995, O263:O$1995, O262))))</f>
        <v>0</v>
      </c>
      <c r="F262" s="27">
        <f t="shared" si="12"/>
        <v>0</v>
      </c>
      <c r="G262" s="28" t="str">
        <f t="shared" si="13"/>
        <v>Paid off</v>
      </c>
      <c r="H262" s="29"/>
      <c r="O262" s="68">
        <f t="shared" si="14"/>
        <v>42</v>
      </c>
      <c r="P262" s="68">
        <f>IF(B262="", 0, IFERROR(MIN(C262+D262, VLOOKUP(B262, '💳 Debt Input'!$A:$G, 4, FALSE)), 0))</f>
        <v>0</v>
      </c>
    </row>
    <row r="263" spans="1:16" ht="18" customHeight="1" x14ac:dyDescent="0.35">
      <c r="A263" s="50">
        <v>43</v>
      </c>
      <c r="B263" s="8" t="str">
        <f>'💳 Debt Input'!$A$9</f>
        <v>Rewards Visa</v>
      </c>
      <c r="C263" s="10">
        <f t="shared" si="15"/>
        <v>13475.18</v>
      </c>
      <c r="D263" s="10">
        <f>ROUND(C263*'💳 Debt Input'!$C$9/12,2)</f>
        <v>404.26</v>
      </c>
      <c r="E263" s="10">
        <f>IF(B263="", "", MIN(C263+D263, MAX(P263, $F$3 - SUMIFS(E$10:E262, O$10:O262, O263) - SUMIFS(P264:P$1995, O264:O$1995, O263))))</f>
        <v>690</v>
      </c>
      <c r="F263" s="10">
        <f t="shared" si="12"/>
        <v>13189.44</v>
      </c>
      <c r="G263" s="19" t="str">
        <f t="shared" si="13"/>
        <v>Active</v>
      </c>
      <c r="H263" s="20"/>
      <c r="O263" s="68">
        <f t="shared" si="14"/>
        <v>43</v>
      </c>
      <c r="P263" s="68">
        <f>IF(B263="", 0, IFERROR(MIN(C263+D263, VLOOKUP(B263, '💳 Debt Input'!$A:$G, 4, FALSE)), 0))</f>
        <v>480</v>
      </c>
    </row>
    <row r="264" spans="1:16" ht="18" customHeight="1" x14ac:dyDescent="0.35">
      <c r="A264" s="47"/>
      <c r="B264" s="8" t="str">
        <f>'💳 Debt Input'!$A$8</f>
        <v>Travel Card</v>
      </c>
      <c r="C264" s="10">
        <f t="shared" si="15"/>
        <v>1180.4100000000001</v>
      </c>
      <c r="D264" s="10">
        <f>ROUND(C264*'💳 Debt Input'!$C$8/12,2)</f>
        <v>17.71</v>
      </c>
      <c r="E264" s="10">
        <f>IF(B264="", "", MIN(C264+D264, MAX(P264, $F$3 - SUMIFS(E$10:E263, O$10:O263, O264) - SUMIFS(P265:P$1995, O265:O$1995, O264))))</f>
        <v>270</v>
      </c>
      <c r="F264" s="10">
        <f t="shared" si="12"/>
        <v>928.12</v>
      </c>
      <c r="G264" s="19" t="str">
        <f t="shared" si="13"/>
        <v>Active</v>
      </c>
      <c r="H264" s="20"/>
      <c r="O264" s="68">
        <f t="shared" si="14"/>
        <v>43</v>
      </c>
      <c r="P264" s="68">
        <f>IF(B264="", 0, IFERROR(MIN(C264+D264, VLOOKUP(B264, '💳 Debt Input'!$A:$G, 4, FALSE)), 0))</f>
        <v>270</v>
      </c>
    </row>
    <row r="265" spans="1:16" ht="18" customHeight="1" x14ac:dyDescent="0.35">
      <c r="A265" s="52"/>
      <c r="B265" s="26" t="str">
        <f>'💳 Debt Input'!$A$7</f>
        <v>Auto Loan</v>
      </c>
      <c r="C265" s="27">
        <f t="shared" si="15"/>
        <v>0</v>
      </c>
      <c r="D265" s="27">
        <f>ROUND(C265*'💳 Debt Input'!$C$7/12,2)</f>
        <v>0</v>
      </c>
      <c r="E265" s="27">
        <f>IF(B265="", "", MIN(C265+D265, MAX(P265, $F$3 - SUMIFS(E$10:E264, O$10:O264, O265) - SUMIFS(P266:P$1995, O266:O$1995, O265))))</f>
        <v>0</v>
      </c>
      <c r="F265" s="27">
        <f t="shared" si="12"/>
        <v>0</v>
      </c>
      <c r="G265" s="28" t="str">
        <f t="shared" si="13"/>
        <v>Paid off</v>
      </c>
      <c r="H265" s="29"/>
      <c r="O265" s="68">
        <f t="shared" si="14"/>
        <v>43</v>
      </c>
      <c r="P265" s="68">
        <f>IF(B265="", 0, IFERROR(MIN(C265+D265, VLOOKUP(B265, '💳 Debt Input'!$A:$G, 4, FALSE)), 0))</f>
        <v>0</v>
      </c>
    </row>
    <row r="266" spans="1:16" ht="18" customHeight="1" x14ac:dyDescent="0.35">
      <c r="A266" s="52"/>
      <c r="B266" s="26" t="str">
        <f>'💳 Debt Input'!$A$6</f>
        <v>Personal Loan</v>
      </c>
      <c r="C266" s="27">
        <f t="shared" si="15"/>
        <v>0</v>
      </c>
      <c r="D266" s="27">
        <f>ROUND(C266*'💳 Debt Input'!$C$6/12,2)</f>
        <v>0</v>
      </c>
      <c r="E266" s="27">
        <f>IF(B266="", "", MIN(C266+D266, MAX(P266, $F$3 - SUMIFS(E$10:E265, O$10:O265, O266) - SUMIFS(P267:P$1995, O267:O$1995, O266))))</f>
        <v>0</v>
      </c>
      <c r="F266" s="27">
        <f t="shared" si="12"/>
        <v>0</v>
      </c>
      <c r="G266" s="28" t="str">
        <f t="shared" si="13"/>
        <v>Paid off</v>
      </c>
      <c r="H266" s="29"/>
      <c r="O266" s="68">
        <f t="shared" si="14"/>
        <v>43</v>
      </c>
      <c r="P266" s="68">
        <f>IF(B266="", 0, IFERROR(MIN(C266+D266, VLOOKUP(B266, '💳 Debt Input'!$A:$G, 4, FALSE)), 0))</f>
        <v>0</v>
      </c>
    </row>
    <row r="267" spans="1:16" ht="18" customHeight="1" x14ac:dyDescent="0.35">
      <c r="A267" s="52"/>
      <c r="B267" s="26" t="str">
        <f>'💳 Debt Input'!$A$5</f>
        <v>Medical Bill</v>
      </c>
      <c r="C267" s="27">
        <f t="shared" si="15"/>
        <v>0</v>
      </c>
      <c r="D267" s="27">
        <f>ROUND(C267*'💳 Debt Input'!$C$5/12,2)</f>
        <v>0</v>
      </c>
      <c r="E267" s="27">
        <f>IF(B267="", "", MIN(C267+D267, MAX(P267, $F$3 - SUMIFS(E$10:E266, O$10:O266, O267) - SUMIFS(P268:P$1995, O268:O$1995, O267))))</f>
        <v>0</v>
      </c>
      <c r="F267" s="27">
        <f t="shared" ref="F267:F330" si="16">ROUND(MAX(0,C267+D267-E267),2)</f>
        <v>0</v>
      </c>
      <c r="G267" s="28" t="str">
        <f t="shared" ref="G267:G330" si="17">IF(F267=0,"Paid off","Active")</f>
        <v>Paid off</v>
      </c>
      <c r="H267" s="29"/>
      <c r="O267" s="68">
        <f t="shared" ref="O267:O330" si="18">IF(A267&lt;&gt;"", A267, O266)</f>
        <v>43</v>
      </c>
      <c r="P267" s="68">
        <f>IF(B267="", 0, IFERROR(MIN(C267+D267, VLOOKUP(B267, '💳 Debt Input'!$A:$G, 4, FALSE)), 0))</f>
        <v>0</v>
      </c>
    </row>
    <row r="268" spans="1:16" ht="18" customHeight="1" x14ac:dyDescent="0.35">
      <c r="A268" s="52"/>
      <c r="B268" s="26" t="str">
        <f>'💳 Debt Input'!$A$4</f>
        <v>Store Card</v>
      </c>
      <c r="C268" s="27">
        <f t="shared" si="15"/>
        <v>0</v>
      </c>
      <c r="D268" s="27">
        <f>ROUND(C268*'💳 Debt Input'!$C$4/12,2)</f>
        <v>0</v>
      </c>
      <c r="E268" s="27">
        <f>IF(B268="", "", MIN(C268+D268, MAX(P268, $F$3 - SUMIFS(E$10:E267, O$10:O267, O268) - SUMIFS(P269:P$1995, O269:O$1995, O268))))</f>
        <v>0</v>
      </c>
      <c r="F268" s="27">
        <f t="shared" si="16"/>
        <v>0</v>
      </c>
      <c r="G268" s="28" t="str">
        <f t="shared" si="17"/>
        <v>Paid off</v>
      </c>
      <c r="H268" s="29"/>
      <c r="O268" s="68">
        <f t="shared" si="18"/>
        <v>43</v>
      </c>
      <c r="P268" s="68">
        <f>IF(B268="", 0, IFERROR(MIN(C268+D268, VLOOKUP(B268, '💳 Debt Input'!$A:$G, 4, FALSE)), 0))</f>
        <v>0</v>
      </c>
    </row>
    <row r="269" spans="1:16" ht="18" customHeight="1" x14ac:dyDescent="0.35">
      <c r="A269" s="48">
        <v>44</v>
      </c>
      <c r="B269" s="6" t="str">
        <f>'💳 Debt Input'!$A$9</f>
        <v>Rewards Visa</v>
      </c>
      <c r="C269" s="12">
        <f t="shared" si="15"/>
        <v>13189.44</v>
      </c>
      <c r="D269" s="12">
        <f>ROUND(C269*'💳 Debt Input'!$C$9/12,2)</f>
        <v>395.68</v>
      </c>
      <c r="E269" s="12">
        <f>IF(B269="", "", MIN(C269+D269, MAX(P269, $F$3 - SUMIFS(E$10:E268, O$10:O268, O269) - SUMIFS(P270:P$1995, O270:O$1995, O269))))</f>
        <v>690</v>
      </c>
      <c r="F269" s="12">
        <f t="shared" si="16"/>
        <v>12895.12</v>
      </c>
      <c r="G269" s="22" t="str">
        <f t="shared" si="17"/>
        <v>Active</v>
      </c>
      <c r="H269" s="23"/>
      <c r="O269" s="68">
        <f t="shared" si="18"/>
        <v>44</v>
      </c>
      <c r="P269" s="68">
        <f>IF(B269="", 0, IFERROR(MIN(C269+D269, VLOOKUP(B269, '💳 Debt Input'!$A:$G, 4, FALSE)), 0))</f>
        <v>480</v>
      </c>
    </row>
    <row r="270" spans="1:16" ht="18" customHeight="1" x14ac:dyDescent="0.35">
      <c r="A270" s="49"/>
      <c r="B270" s="6" t="str">
        <f>'💳 Debt Input'!$A$8</f>
        <v>Travel Card</v>
      </c>
      <c r="C270" s="12">
        <f t="shared" si="15"/>
        <v>928.12</v>
      </c>
      <c r="D270" s="12">
        <f>ROUND(C270*'💳 Debt Input'!$C$8/12,2)</f>
        <v>13.92</v>
      </c>
      <c r="E270" s="12">
        <f>IF(B270="", "", MIN(C270+D270, MAX(P270, $F$3 - SUMIFS(E$10:E269, O$10:O269, O270) - SUMIFS(P271:P$1995, O271:O$1995, O270))))</f>
        <v>270</v>
      </c>
      <c r="F270" s="12">
        <f t="shared" si="16"/>
        <v>672.04</v>
      </c>
      <c r="G270" s="22" t="str">
        <f t="shared" si="17"/>
        <v>Active</v>
      </c>
      <c r="H270" s="23"/>
      <c r="O270" s="68">
        <f t="shared" si="18"/>
        <v>44</v>
      </c>
      <c r="P270" s="68">
        <f>IF(B270="", 0, IFERROR(MIN(C270+D270, VLOOKUP(B270, '💳 Debt Input'!$A:$G, 4, FALSE)), 0))</f>
        <v>270</v>
      </c>
    </row>
    <row r="271" spans="1:16" ht="18" customHeight="1" x14ac:dyDescent="0.35">
      <c r="A271" s="52"/>
      <c r="B271" s="26" t="str">
        <f>'💳 Debt Input'!$A$7</f>
        <v>Auto Loan</v>
      </c>
      <c r="C271" s="27">
        <f t="shared" si="15"/>
        <v>0</v>
      </c>
      <c r="D271" s="27">
        <f>ROUND(C271*'💳 Debt Input'!$C$7/12,2)</f>
        <v>0</v>
      </c>
      <c r="E271" s="27">
        <f>IF(B271="", "", MIN(C271+D271, MAX(P271, $F$3 - SUMIFS(E$10:E270, O$10:O270, O271) - SUMIFS(P272:P$1995, O272:O$1995, O271))))</f>
        <v>0</v>
      </c>
      <c r="F271" s="27">
        <f t="shared" si="16"/>
        <v>0</v>
      </c>
      <c r="G271" s="28" t="str">
        <f t="shared" si="17"/>
        <v>Paid off</v>
      </c>
      <c r="H271" s="29"/>
      <c r="O271" s="68">
        <f t="shared" si="18"/>
        <v>44</v>
      </c>
      <c r="P271" s="68">
        <f>IF(B271="", 0, IFERROR(MIN(C271+D271, VLOOKUP(B271, '💳 Debt Input'!$A:$G, 4, FALSE)), 0))</f>
        <v>0</v>
      </c>
    </row>
    <row r="272" spans="1:16" ht="18" customHeight="1" x14ac:dyDescent="0.35">
      <c r="A272" s="52"/>
      <c r="B272" s="26" t="str">
        <f>'💳 Debt Input'!$A$6</f>
        <v>Personal Loan</v>
      </c>
      <c r="C272" s="27">
        <f t="shared" si="15"/>
        <v>0</v>
      </c>
      <c r="D272" s="27">
        <f>ROUND(C272*'💳 Debt Input'!$C$6/12,2)</f>
        <v>0</v>
      </c>
      <c r="E272" s="27">
        <f>IF(B272="", "", MIN(C272+D272, MAX(P272, $F$3 - SUMIFS(E$10:E271, O$10:O271, O272) - SUMIFS(P273:P$1995, O273:O$1995, O272))))</f>
        <v>0</v>
      </c>
      <c r="F272" s="27">
        <f t="shared" si="16"/>
        <v>0</v>
      </c>
      <c r="G272" s="28" t="str">
        <f t="shared" si="17"/>
        <v>Paid off</v>
      </c>
      <c r="H272" s="29"/>
      <c r="O272" s="68">
        <f t="shared" si="18"/>
        <v>44</v>
      </c>
      <c r="P272" s="68">
        <f>IF(B272="", 0, IFERROR(MIN(C272+D272, VLOOKUP(B272, '💳 Debt Input'!$A:$G, 4, FALSE)), 0))</f>
        <v>0</v>
      </c>
    </row>
    <row r="273" spans="1:16" ht="18" customHeight="1" x14ac:dyDescent="0.35">
      <c r="A273" s="52"/>
      <c r="B273" s="26" t="str">
        <f>'💳 Debt Input'!$A$5</f>
        <v>Medical Bill</v>
      </c>
      <c r="C273" s="27">
        <f t="shared" ref="C273:C336" si="19">F267</f>
        <v>0</v>
      </c>
      <c r="D273" s="27">
        <f>ROUND(C273*'💳 Debt Input'!$C$5/12,2)</f>
        <v>0</v>
      </c>
      <c r="E273" s="27">
        <f>IF(B273="", "", MIN(C273+D273, MAX(P273, $F$3 - SUMIFS(E$10:E272, O$10:O272, O273) - SUMIFS(P274:P$1995, O274:O$1995, O273))))</f>
        <v>0</v>
      </c>
      <c r="F273" s="27">
        <f t="shared" si="16"/>
        <v>0</v>
      </c>
      <c r="G273" s="28" t="str">
        <f t="shared" si="17"/>
        <v>Paid off</v>
      </c>
      <c r="H273" s="29"/>
      <c r="O273" s="68">
        <f t="shared" si="18"/>
        <v>44</v>
      </c>
      <c r="P273" s="68">
        <f>IF(B273="", 0, IFERROR(MIN(C273+D273, VLOOKUP(B273, '💳 Debt Input'!$A:$G, 4, FALSE)), 0))</f>
        <v>0</v>
      </c>
    </row>
    <row r="274" spans="1:16" ht="18" customHeight="1" x14ac:dyDescent="0.35">
      <c r="A274" s="52"/>
      <c r="B274" s="26" t="str">
        <f>'💳 Debt Input'!$A$4</f>
        <v>Store Card</v>
      </c>
      <c r="C274" s="27">
        <f t="shared" si="19"/>
        <v>0</v>
      </c>
      <c r="D274" s="27">
        <f>ROUND(C274*'💳 Debt Input'!$C$4/12,2)</f>
        <v>0</v>
      </c>
      <c r="E274" s="27">
        <f>IF(B274="", "", MIN(C274+D274, MAX(P274, $F$3 - SUMIFS(E$10:E273, O$10:O273, O274) - SUMIFS(P275:P$1995, O275:O$1995, O274))))</f>
        <v>0</v>
      </c>
      <c r="F274" s="27">
        <f t="shared" si="16"/>
        <v>0</v>
      </c>
      <c r="G274" s="28" t="str">
        <f t="shared" si="17"/>
        <v>Paid off</v>
      </c>
      <c r="H274" s="29"/>
      <c r="O274" s="68">
        <f t="shared" si="18"/>
        <v>44</v>
      </c>
      <c r="P274" s="68">
        <f>IF(B274="", 0, IFERROR(MIN(C274+D274, VLOOKUP(B274, '💳 Debt Input'!$A:$G, 4, FALSE)), 0))</f>
        <v>0</v>
      </c>
    </row>
    <row r="275" spans="1:16" ht="18" customHeight="1" x14ac:dyDescent="0.35">
      <c r="A275" s="50">
        <v>45</v>
      </c>
      <c r="B275" s="8" t="str">
        <f>'💳 Debt Input'!$A$9</f>
        <v>Rewards Visa</v>
      </c>
      <c r="C275" s="10">
        <f t="shared" si="19"/>
        <v>12895.12</v>
      </c>
      <c r="D275" s="10">
        <f>ROUND(C275*'💳 Debt Input'!$C$9/12,2)</f>
        <v>386.85</v>
      </c>
      <c r="E275" s="10">
        <f>IF(B275="", "", MIN(C275+D275, MAX(P275, $F$3 - SUMIFS(E$10:E274, O$10:O274, O275) - SUMIFS(P276:P$1995, O276:O$1995, O275))))</f>
        <v>690</v>
      </c>
      <c r="F275" s="10">
        <f t="shared" si="16"/>
        <v>12591.97</v>
      </c>
      <c r="G275" s="19" t="str">
        <f t="shared" si="17"/>
        <v>Active</v>
      </c>
      <c r="H275" s="20"/>
      <c r="O275" s="68">
        <f t="shared" si="18"/>
        <v>45</v>
      </c>
      <c r="P275" s="68">
        <f>IF(B275="", 0, IFERROR(MIN(C275+D275, VLOOKUP(B275, '💳 Debt Input'!$A:$G, 4, FALSE)), 0))</f>
        <v>480</v>
      </c>
    </row>
    <row r="276" spans="1:16" ht="18" customHeight="1" x14ac:dyDescent="0.35">
      <c r="A276" s="47"/>
      <c r="B276" s="8" t="str">
        <f>'💳 Debt Input'!$A$8</f>
        <v>Travel Card</v>
      </c>
      <c r="C276" s="10">
        <f t="shared" si="19"/>
        <v>672.04</v>
      </c>
      <c r="D276" s="10">
        <f>ROUND(C276*'💳 Debt Input'!$C$8/12,2)</f>
        <v>10.08</v>
      </c>
      <c r="E276" s="10">
        <f>IF(B276="", "", MIN(C276+D276, MAX(P276, $F$3 - SUMIFS(E$10:E275, O$10:O275, O276) - SUMIFS(P277:P$1995, O277:O$1995, O276))))</f>
        <v>270</v>
      </c>
      <c r="F276" s="10">
        <f t="shared" si="16"/>
        <v>412.12</v>
      </c>
      <c r="G276" s="19" t="str">
        <f t="shared" si="17"/>
        <v>Active</v>
      </c>
      <c r="H276" s="20"/>
      <c r="O276" s="68">
        <f t="shared" si="18"/>
        <v>45</v>
      </c>
      <c r="P276" s="68">
        <f>IF(B276="", 0, IFERROR(MIN(C276+D276, VLOOKUP(B276, '💳 Debt Input'!$A:$G, 4, FALSE)), 0))</f>
        <v>270</v>
      </c>
    </row>
    <row r="277" spans="1:16" ht="18" customHeight="1" x14ac:dyDescent="0.35">
      <c r="A277" s="52"/>
      <c r="B277" s="26" t="str">
        <f>'💳 Debt Input'!$A$7</f>
        <v>Auto Loan</v>
      </c>
      <c r="C277" s="27">
        <f t="shared" si="19"/>
        <v>0</v>
      </c>
      <c r="D277" s="27">
        <f>ROUND(C277*'💳 Debt Input'!$C$7/12,2)</f>
        <v>0</v>
      </c>
      <c r="E277" s="27">
        <f>IF(B277="", "", MIN(C277+D277, MAX(P277, $F$3 - SUMIFS(E$10:E276, O$10:O276, O277) - SUMIFS(P278:P$1995, O278:O$1995, O277))))</f>
        <v>0</v>
      </c>
      <c r="F277" s="27">
        <f t="shared" si="16"/>
        <v>0</v>
      </c>
      <c r="G277" s="28" t="str">
        <f t="shared" si="17"/>
        <v>Paid off</v>
      </c>
      <c r="H277" s="29"/>
      <c r="O277" s="68">
        <f t="shared" si="18"/>
        <v>45</v>
      </c>
      <c r="P277" s="68">
        <f>IF(B277="", 0, IFERROR(MIN(C277+D277, VLOOKUP(B277, '💳 Debt Input'!$A:$G, 4, FALSE)), 0))</f>
        <v>0</v>
      </c>
    </row>
    <row r="278" spans="1:16" ht="18" customHeight="1" x14ac:dyDescent="0.35">
      <c r="A278" s="52"/>
      <c r="B278" s="26" t="str">
        <f>'💳 Debt Input'!$A$6</f>
        <v>Personal Loan</v>
      </c>
      <c r="C278" s="27">
        <f t="shared" si="19"/>
        <v>0</v>
      </c>
      <c r="D278" s="27">
        <f>ROUND(C278*'💳 Debt Input'!$C$6/12,2)</f>
        <v>0</v>
      </c>
      <c r="E278" s="27">
        <f>IF(B278="", "", MIN(C278+D278, MAX(P278, $F$3 - SUMIFS(E$10:E277, O$10:O277, O278) - SUMIFS(P279:P$1995, O279:O$1995, O278))))</f>
        <v>0</v>
      </c>
      <c r="F278" s="27">
        <f t="shared" si="16"/>
        <v>0</v>
      </c>
      <c r="G278" s="28" t="str">
        <f t="shared" si="17"/>
        <v>Paid off</v>
      </c>
      <c r="H278" s="29"/>
      <c r="O278" s="68">
        <f t="shared" si="18"/>
        <v>45</v>
      </c>
      <c r="P278" s="68">
        <f>IF(B278="", 0, IFERROR(MIN(C278+D278, VLOOKUP(B278, '💳 Debt Input'!$A:$G, 4, FALSE)), 0))</f>
        <v>0</v>
      </c>
    </row>
    <row r="279" spans="1:16" ht="18" customHeight="1" x14ac:dyDescent="0.35">
      <c r="A279" s="52"/>
      <c r="B279" s="26" t="str">
        <f>'💳 Debt Input'!$A$5</f>
        <v>Medical Bill</v>
      </c>
      <c r="C279" s="27">
        <f t="shared" si="19"/>
        <v>0</v>
      </c>
      <c r="D279" s="27">
        <f>ROUND(C279*'💳 Debt Input'!$C$5/12,2)</f>
        <v>0</v>
      </c>
      <c r="E279" s="27">
        <f>IF(B279="", "", MIN(C279+D279, MAX(P279, $F$3 - SUMIFS(E$10:E278, O$10:O278, O279) - SUMIFS(P280:P$1995, O280:O$1995, O279))))</f>
        <v>0</v>
      </c>
      <c r="F279" s="27">
        <f t="shared" si="16"/>
        <v>0</v>
      </c>
      <c r="G279" s="28" t="str">
        <f t="shared" si="17"/>
        <v>Paid off</v>
      </c>
      <c r="H279" s="29"/>
      <c r="O279" s="68">
        <f t="shared" si="18"/>
        <v>45</v>
      </c>
      <c r="P279" s="68">
        <f>IF(B279="", 0, IFERROR(MIN(C279+D279, VLOOKUP(B279, '💳 Debt Input'!$A:$G, 4, FALSE)), 0))</f>
        <v>0</v>
      </c>
    </row>
    <row r="280" spans="1:16" ht="18" customHeight="1" x14ac:dyDescent="0.35">
      <c r="A280" s="52"/>
      <c r="B280" s="26" t="str">
        <f>'💳 Debt Input'!$A$4</f>
        <v>Store Card</v>
      </c>
      <c r="C280" s="27">
        <f t="shared" si="19"/>
        <v>0</v>
      </c>
      <c r="D280" s="27">
        <f>ROUND(C280*'💳 Debt Input'!$C$4/12,2)</f>
        <v>0</v>
      </c>
      <c r="E280" s="27">
        <f>IF(B280="", "", MIN(C280+D280, MAX(P280, $F$3 - SUMIFS(E$10:E279, O$10:O279, O280) - SUMIFS(P281:P$1995, O281:O$1995, O280))))</f>
        <v>0</v>
      </c>
      <c r="F280" s="27">
        <f t="shared" si="16"/>
        <v>0</v>
      </c>
      <c r="G280" s="28" t="str">
        <f t="shared" si="17"/>
        <v>Paid off</v>
      </c>
      <c r="H280" s="29"/>
      <c r="O280" s="68">
        <f t="shared" si="18"/>
        <v>45</v>
      </c>
      <c r="P280" s="68">
        <f>IF(B280="", 0, IFERROR(MIN(C280+D280, VLOOKUP(B280, '💳 Debt Input'!$A:$G, 4, FALSE)), 0))</f>
        <v>0</v>
      </c>
    </row>
    <row r="281" spans="1:16" ht="18" customHeight="1" x14ac:dyDescent="0.35">
      <c r="A281" s="48">
        <v>46</v>
      </c>
      <c r="B281" s="6" t="str">
        <f>'💳 Debt Input'!$A$9</f>
        <v>Rewards Visa</v>
      </c>
      <c r="C281" s="12">
        <f t="shared" si="19"/>
        <v>12591.97</v>
      </c>
      <c r="D281" s="12">
        <f>ROUND(C281*'💳 Debt Input'!$C$9/12,2)</f>
        <v>377.76</v>
      </c>
      <c r="E281" s="12">
        <f>IF(B281="", "", MIN(C281+D281, MAX(P281, $F$3 - SUMIFS(E$10:E280, O$10:O280, O281) - SUMIFS(P282:P$1995, O282:O$1995, O281))))</f>
        <v>690</v>
      </c>
      <c r="F281" s="12">
        <f t="shared" si="16"/>
        <v>12279.73</v>
      </c>
      <c r="G281" s="22" t="str">
        <f t="shared" si="17"/>
        <v>Active</v>
      </c>
      <c r="H281" s="23"/>
      <c r="O281" s="68">
        <f t="shared" si="18"/>
        <v>46</v>
      </c>
      <c r="P281" s="68">
        <f>IF(B281="", 0, IFERROR(MIN(C281+D281, VLOOKUP(B281, '💳 Debt Input'!$A:$G, 4, FALSE)), 0))</f>
        <v>480</v>
      </c>
    </row>
    <row r="282" spans="1:16" ht="18" customHeight="1" x14ac:dyDescent="0.35">
      <c r="A282" s="49"/>
      <c r="B282" s="6" t="str">
        <f>'💳 Debt Input'!$A$8</f>
        <v>Travel Card</v>
      </c>
      <c r="C282" s="12">
        <f t="shared" si="19"/>
        <v>412.12</v>
      </c>
      <c r="D282" s="12">
        <f>ROUND(C282*'💳 Debt Input'!$C$8/12,2)</f>
        <v>6.18</v>
      </c>
      <c r="E282" s="12">
        <f>IF(B282="", "", MIN(C282+D282, MAX(P282, $F$3 - SUMIFS(E$10:E281, O$10:O281, O282) - SUMIFS(P283:P$1995, O283:O$1995, O282))))</f>
        <v>270</v>
      </c>
      <c r="F282" s="12">
        <f t="shared" si="16"/>
        <v>148.30000000000001</v>
      </c>
      <c r="G282" s="22" t="str">
        <f t="shared" si="17"/>
        <v>Active</v>
      </c>
      <c r="H282" s="23"/>
      <c r="O282" s="68">
        <f t="shared" si="18"/>
        <v>46</v>
      </c>
      <c r="P282" s="68">
        <f>IF(B282="", 0, IFERROR(MIN(C282+D282, VLOOKUP(B282, '💳 Debt Input'!$A:$G, 4, FALSE)), 0))</f>
        <v>270</v>
      </c>
    </row>
    <row r="283" spans="1:16" ht="18" customHeight="1" x14ac:dyDescent="0.35">
      <c r="A283" s="52"/>
      <c r="B283" s="26" t="str">
        <f>'💳 Debt Input'!$A$7</f>
        <v>Auto Loan</v>
      </c>
      <c r="C283" s="27">
        <f t="shared" si="19"/>
        <v>0</v>
      </c>
      <c r="D283" s="27">
        <f>ROUND(C283*'💳 Debt Input'!$C$7/12,2)</f>
        <v>0</v>
      </c>
      <c r="E283" s="27">
        <f>IF(B283="", "", MIN(C283+D283, MAX(P283, $F$3 - SUMIFS(E$10:E282, O$10:O282, O283) - SUMIFS(P284:P$1995, O284:O$1995, O283))))</f>
        <v>0</v>
      </c>
      <c r="F283" s="27">
        <f t="shared" si="16"/>
        <v>0</v>
      </c>
      <c r="G283" s="28" t="str">
        <f t="shared" si="17"/>
        <v>Paid off</v>
      </c>
      <c r="H283" s="29"/>
      <c r="O283" s="68">
        <f t="shared" si="18"/>
        <v>46</v>
      </c>
      <c r="P283" s="68">
        <f>IF(B283="", 0, IFERROR(MIN(C283+D283, VLOOKUP(B283, '💳 Debt Input'!$A:$G, 4, FALSE)), 0))</f>
        <v>0</v>
      </c>
    </row>
    <row r="284" spans="1:16" ht="18" customHeight="1" x14ac:dyDescent="0.35">
      <c r="A284" s="52"/>
      <c r="B284" s="26" t="str">
        <f>'💳 Debt Input'!$A$6</f>
        <v>Personal Loan</v>
      </c>
      <c r="C284" s="27">
        <f t="shared" si="19"/>
        <v>0</v>
      </c>
      <c r="D284" s="27">
        <f>ROUND(C284*'💳 Debt Input'!$C$6/12,2)</f>
        <v>0</v>
      </c>
      <c r="E284" s="27">
        <f>IF(B284="", "", MIN(C284+D284, MAX(P284, $F$3 - SUMIFS(E$10:E283, O$10:O283, O284) - SUMIFS(P285:P$1995, O285:O$1995, O284))))</f>
        <v>0</v>
      </c>
      <c r="F284" s="27">
        <f t="shared" si="16"/>
        <v>0</v>
      </c>
      <c r="G284" s="28" t="str">
        <f t="shared" si="17"/>
        <v>Paid off</v>
      </c>
      <c r="H284" s="29"/>
      <c r="O284" s="68">
        <f t="shared" si="18"/>
        <v>46</v>
      </c>
      <c r="P284" s="68">
        <f>IF(B284="", 0, IFERROR(MIN(C284+D284, VLOOKUP(B284, '💳 Debt Input'!$A:$G, 4, FALSE)), 0))</f>
        <v>0</v>
      </c>
    </row>
    <row r="285" spans="1:16" ht="18" customHeight="1" x14ac:dyDescent="0.35">
      <c r="A285" s="52"/>
      <c r="B285" s="26" t="str">
        <f>'💳 Debt Input'!$A$5</f>
        <v>Medical Bill</v>
      </c>
      <c r="C285" s="27">
        <f t="shared" si="19"/>
        <v>0</v>
      </c>
      <c r="D285" s="27">
        <f>ROUND(C285*'💳 Debt Input'!$C$5/12,2)</f>
        <v>0</v>
      </c>
      <c r="E285" s="27">
        <f>IF(B285="", "", MIN(C285+D285, MAX(P285, $F$3 - SUMIFS(E$10:E284, O$10:O284, O285) - SUMIFS(P286:P$1995, O286:O$1995, O285))))</f>
        <v>0</v>
      </c>
      <c r="F285" s="27">
        <f t="shared" si="16"/>
        <v>0</v>
      </c>
      <c r="G285" s="28" t="str">
        <f t="shared" si="17"/>
        <v>Paid off</v>
      </c>
      <c r="H285" s="29"/>
      <c r="O285" s="68">
        <f t="shared" si="18"/>
        <v>46</v>
      </c>
      <c r="P285" s="68">
        <f>IF(B285="", 0, IFERROR(MIN(C285+D285, VLOOKUP(B285, '💳 Debt Input'!$A:$G, 4, FALSE)), 0))</f>
        <v>0</v>
      </c>
    </row>
    <row r="286" spans="1:16" ht="18" customHeight="1" x14ac:dyDescent="0.35">
      <c r="A286" s="52"/>
      <c r="B286" s="26" t="str">
        <f>'💳 Debt Input'!$A$4</f>
        <v>Store Card</v>
      </c>
      <c r="C286" s="27">
        <f t="shared" si="19"/>
        <v>0</v>
      </c>
      <c r="D286" s="27">
        <f>ROUND(C286*'💳 Debt Input'!$C$4/12,2)</f>
        <v>0</v>
      </c>
      <c r="E286" s="27">
        <f>IF(B286="", "", MIN(C286+D286, MAX(P286, $F$3 - SUMIFS(E$10:E285, O$10:O285, O286) - SUMIFS(P287:P$1995, O287:O$1995, O286))))</f>
        <v>0</v>
      </c>
      <c r="F286" s="27">
        <f t="shared" si="16"/>
        <v>0</v>
      </c>
      <c r="G286" s="28" t="str">
        <f t="shared" si="17"/>
        <v>Paid off</v>
      </c>
      <c r="H286" s="29"/>
      <c r="O286" s="68">
        <f t="shared" si="18"/>
        <v>46</v>
      </c>
      <c r="P286" s="68">
        <f>IF(B286="", 0, IFERROR(MIN(C286+D286, VLOOKUP(B286, '💳 Debt Input'!$A:$G, 4, FALSE)), 0))</f>
        <v>0</v>
      </c>
    </row>
    <row r="287" spans="1:16" ht="18" customHeight="1" x14ac:dyDescent="0.35">
      <c r="A287" s="50">
        <v>47</v>
      </c>
      <c r="B287" s="8" t="str">
        <f>'💳 Debt Input'!$A$9</f>
        <v>Rewards Visa</v>
      </c>
      <c r="C287" s="10">
        <f t="shared" si="19"/>
        <v>12279.73</v>
      </c>
      <c r="D287" s="10">
        <f>ROUND(C287*'💳 Debt Input'!$C$9/12,2)</f>
        <v>368.39</v>
      </c>
      <c r="E287" s="10">
        <f>IF(B287="", "", MIN(C287+D287, MAX(P287, $F$3 - SUMIFS(E$10:E286, O$10:O286, O287) - SUMIFS(P288:P$1995, O288:O$1995, O287))))</f>
        <v>809.48</v>
      </c>
      <c r="F287" s="10">
        <f t="shared" si="16"/>
        <v>11838.64</v>
      </c>
      <c r="G287" s="19" t="str">
        <f t="shared" si="17"/>
        <v>Active</v>
      </c>
      <c r="H287" s="20"/>
      <c r="O287" s="68">
        <f t="shared" si="18"/>
        <v>47</v>
      </c>
      <c r="P287" s="68">
        <f>IF(B287="", 0, IFERROR(MIN(C287+D287, VLOOKUP(B287, '💳 Debt Input'!$A:$G, 4, FALSE)), 0))</f>
        <v>480</v>
      </c>
    </row>
    <row r="288" spans="1:16" ht="18" customHeight="1" x14ac:dyDescent="0.35">
      <c r="A288" s="52"/>
      <c r="B288" s="26" t="str">
        <f>'💳 Debt Input'!$A$8</f>
        <v>Travel Card</v>
      </c>
      <c r="C288" s="27">
        <f t="shared" si="19"/>
        <v>148.30000000000001</v>
      </c>
      <c r="D288" s="27">
        <f>ROUND(C288*'💳 Debt Input'!$C$8/12,2)</f>
        <v>2.2200000000000002</v>
      </c>
      <c r="E288" s="27">
        <f>IF(B288="", "", MIN(C288+D288, MAX(P288, $F$3 - SUMIFS(E$10:E287, O$10:O287, O288) - SUMIFS(P289:P$1995, O289:O$1995, O288))))</f>
        <v>150.52000000000001</v>
      </c>
      <c r="F288" s="27">
        <f t="shared" si="16"/>
        <v>0</v>
      </c>
      <c r="G288" s="28" t="str">
        <f t="shared" si="17"/>
        <v>Paid off</v>
      </c>
      <c r="H288" s="26"/>
      <c r="O288" s="68">
        <f t="shared" si="18"/>
        <v>47</v>
      </c>
      <c r="P288" s="68">
        <f>IF(B288="", 0, IFERROR(MIN(C288+D288, VLOOKUP(B288, '💳 Debt Input'!$A:$G, 4, FALSE)), 0))</f>
        <v>150.52000000000001</v>
      </c>
    </row>
    <row r="289" spans="1:16" ht="18" customHeight="1" x14ac:dyDescent="0.35">
      <c r="A289" s="52"/>
      <c r="B289" s="26" t="str">
        <f>'💳 Debt Input'!$A$7</f>
        <v>Auto Loan</v>
      </c>
      <c r="C289" s="27">
        <f t="shared" si="19"/>
        <v>0</v>
      </c>
      <c r="D289" s="27">
        <f>ROUND(C289*'💳 Debt Input'!$C$7/12,2)</f>
        <v>0</v>
      </c>
      <c r="E289" s="27">
        <f>IF(B289="", "", MIN(C289+D289, MAX(P289, $F$3 - SUMIFS(E$10:E288, O$10:O288, O289) - SUMIFS(P290:P$1995, O290:O$1995, O289))))</f>
        <v>0</v>
      </c>
      <c r="F289" s="27">
        <f t="shared" si="16"/>
        <v>0</v>
      </c>
      <c r="G289" s="28" t="str">
        <f t="shared" si="17"/>
        <v>Paid off</v>
      </c>
      <c r="H289" s="29"/>
      <c r="O289" s="68">
        <f t="shared" si="18"/>
        <v>47</v>
      </c>
      <c r="P289" s="68">
        <f>IF(B289="", 0, IFERROR(MIN(C289+D289, VLOOKUP(B289, '💳 Debt Input'!$A:$G, 4, FALSE)), 0))</f>
        <v>0</v>
      </c>
    </row>
    <row r="290" spans="1:16" ht="18" customHeight="1" x14ac:dyDescent="0.35">
      <c r="A290" s="52"/>
      <c r="B290" s="26" t="str">
        <f>'💳 Debt Input'!$A$6</f>
        <v>Personal Loan</v>
      </c>
      <c r="C290" s="27">
        <f t="shared" si="19"/>
        <v>0</v>
      </c>
      <c r="D290" s="27">
        <f>ROUND(C290*'💳 Debt Input'!$C$6/12,2)</f>
        <v>0</v>
      </c>
      <c r="E290" s="27">
        <f>IF(B290="", "", MIN(C290+D290, MAX(P290, $F$3 - SUMIFS(E$10:E289, O$10:O289, O290) - SUMIFS(P291:P$1995, O291:O$1995, O290))))</f>
        <v>0</v>
      </c>
      <c r="F290" s="27">
        <f t="shared" si="16"/>
        <v>0</v>
      </c>
      <c r="G290" s="28" t="str">
        <f t="shared" si="17"/>
        <v>Paid off</v>
      </c>
      <c r="H290" s="29"/>
      <c r="O290" s="68">
        <f t="shared" si="18"/>
        <v>47</v>
      </c>
      <c r="P290" s="68">
        <f>IF(B290="", 0, IFERROR(MIN(C290+D290, VLOOKUP(B290, '💳 Debt Input'!$A:$G, 4, FALSE)), 0))</f>
        <v>0</v>
      </c>
    </row>
    <row r="291" spans="1:16" ht="18" customHeight="1" x14ac:dyDescent="0.35">
      <c r="A291" s="52"/>
      <c r="B291" s="26" t="str">
        <f>'💳 Debt Input'!$A$5</f>
        <v>Medical Bill</v>
      </c>
      <c r="C291" s="27">
        <f t="shared" si="19"/>
        <v>0</v>
      </c>
      <c r="D291" s="27">
        <f>ROUND(C291*'💳 Debt Input'!$C$5/12,2)</f>
        <v>0</v>
      </c>
      <c r="E291" s="27">
        <f>IF(B291="", "", MIN(C291+D291, MAX(P291, $F$3 - SUMIFS(E$10:E290, O$10:O290, O291) - SUMIFS(P292:P$1995, O292:O$1995, O291))))</f>
        <v>0</v>
      </c>
      <c r="F291" s="27">
        <f t="shared" si="16"/>
        <v>0</v>
      </c>
      <c r="G291" s="28" t="str">
        <f t="shared" si="17"/>
        <v>Paid off</v>
      </c>
      <c r="H291" s="29"/>
      <c r="O291" s="68">
        <f t="shared" si="18"/>
        <v>47</v>
      </c>
      <c r="P291" s="68">
        <f>IF(B291="", 0, IFERROR(MIN(C291+D291, VLOOKUP(B291, '💳 Debt Input'!$A:$G, 4, FALSE)), 0))</f>
        <v>0</v>
      </c>
    </row>
    <row r="292" spans="1:16" ht="18" customHeight="1" x14ac:dyDescent="0.35">
      <c r="A292" s="52"/>
      <c r="B292" s="26" t="str">
        <f>'💳 Debt Input'!$A$4</f>
        <v>Store Card</v>
      </c>
      <c r="C292" s="27">
        <f t="shared" si="19"/>
        <v>0</v>
      </c>
      <c r="D292" s="27">
        <f>ROUND(C292*'💳 Debt Input'!$C$4/12,2)</f>
        <v>0</v>
      </c>
      <c r="E292" s="27">
        <f>IF(B292="", "", MIN(C292+D292, MAX(P292, $F$3 - SUMIFS(E$10:E291, O$10:O291, O292) - SUMIFS(P293:P$1995, O293:O$1995, O292))))</f>
        <v>0</v>
      </c>
      <c r="F292" s="27">
        <f t="shared" si="16"/>
        <v>0</v>
      </c>
      <c r="G292" s="28" t="str">
        <f t="shared" si="17"/>
        <v>Paid off</v>
      </c>
      <c r="H292" s="29"/>
      <c r="O292" s="68">
        <f t="shared" si="18"/>
        <v>47</v>
      </c>
      <c r="P292" s="68">
        <f>IF(B292="", 0, IFERROR(MIN(C292+D292, VLOOKUP(B292, '💳 Debt Input'!$A:$G, 4, FALSE)), 0))</f>
        <v>0</v>
      </c>
    </row>
    <row r="293" spans="1:16" ht="18" customHeight="1" x14ac:dyDescent="0.35">
      <c r="A293" s="48">
        <v>48</v>
      </c>
      <c r="B293" s="6" t="str">
        <f>'💳 Debt Input'!$A$9</f>
        <v>Rewards Visa</v>
      </c>
      <c r="C293" s="12">
        <f t="shared" si="19"/>
        <v>11838.64</v>
      </c>
      <c r="D293" s="12">
        <f>ROUND(C293*'💳 Debt Input'!$C$9/12,2)</f>
        <v>355.16</v>
      </c>
      <c r="E293" s="12">
        <f>IF(B293="", "", MIN(C293+D293, MAX(P293, $F$3 - SUMIFS(E$10:E292, O$10:O292, O293) - SUMIFS(P294:P$1995, O294:O$1995, O293))))</f>
        <v>960</v>
      </c>
      <c r="F293" s="12">
        <f t="shared" si="16"/>
        <v>11233.8</v>
      </c>
      <c r="G293" s="22" t="str">
        <f t="shared" si="17"/>
        <v>Active</v>
      </c>
      <c r="H293" s="23"/>
      <c r="O293" s="68">
        <f t="shared" si="18"/>
        <v>48</v>
      </c>
      <c r="P293" s="68">
        <f>IF(B293="", 0, IFERROR(MIN(C293+D293, VLOOKUP(B293, '💳 Debt Input'!$A:$G, 4, FALSE)), 0))</f>
        <v>480</v>
      </c>
    </row>
    <row r="294" spans="1:16" ht="18" customHeight="1" x14ac:dyDescent="0.35">
      <c r="A294" s="52"/>
      <c r="B294" s="26" t="str">
        <f>'💳 Debt Input'!$A$8</f>
        <v>Travel Card</v>
      </c>
      <c r="C294" s="27">
        <f t="shared" si="19"/>
        <v>0</v>
      </c>
      <c r="D294" s="27">
        <f>ROUND(C294*'💳 Debt Input'!$C$8/12,2)</f>
        <v>0</v>
      </c>
      <c r="E294" s="27">
        <f>IF(B294="", "", MIN(C294+D294, MAX(P294, $F$3 - SUMIFS(E$10:E293, O$10:O293, O294) - SUMIFS(P295:P$1995, O295:O$1995, O294))))</f>
        <v>0</v>
      </c>
      <c r="F294" s="27">
        <f t="shared" si="16"/>
        <v>0</v>
      </c>
      <c r="G294" s="28" t="str">
        <f t="shared" si="17"/>
        <v>Paid off</v>
      </c>
      <c r="H294" s="29"/>
      <c r="O294" s="68">
        <f t="shared" si="18"/>
        <v>48</v>
      </c>
      <c r="P294" s="68">
        <f>IF(B294="", 0, IFERROR(MIN(C294+D294, VLOOKUP(B294, '💳 Debt Input'!$A:$G, 4, FALSE)), 0))</f>
        <v>0</v>
      </c>
    </row>
    <row r="295" spans="1:16" ht="18" customHeight="1" x14ac:dyDescent="0.35">
      <c r="A295" s="52"/>
      <c r="B295" s="26" t="str">
        <f>'💳 Debt Input'!$A$7</f>
        <v>Auto Loan</v>
      </c>
      <c r="C295" s="27">
        <f t="shared" si="19"/>
        <v>0</v>
      </c>
      <c r="D295" s="27">
        <f>ROUND(C295*'💳 Debt Input'!$C$7/12,2)</f>
        <v>0</v>
      </c>
      <c r="E295" s="27">
        <f>IF(B295="", "", MIN(C295+D295, MAX(P295, $F$3 - SUMIFS(E$10:E294, O$10:O294, O295) - SUMIFS(P296:P$1995, O296:O$1995, O295))))</f>
        <v>0</v>
      </c>
      <c r="F295" s="27">
        <f t="shared" si="16"/>
        <v>0</v>
      </c>
      <c r="G295" s="28" t="str">
        <f t="shared" si="17"/>
        <v>Paid off</v>
      </c>
      <c r="H295" s="29"/>
      <c r="O295" s="68">
        <f t="shared" si="18"/>
        <v>48</v>
      </c>
      <c r="P295" s="68">
        <f>IF(B295="", 0, IFERROR(MIN(C295+D295, VLOOKUP(B295, '💳 Debt Input'!$A:$G, 4, FALSE)), 0))</f>
        <v>0</v>
      </c>
    </row>
    <row r="296" spans="1:16" ht="18" customHeight="1" x14ac:dyDescent="0.35">
      <c r="A296" s="52"/>
      <c r="B296" s="26" t="str">
        <f>'💳 Debt Input'!$A$6</f>
        <v>Personal Loan</v>
      </c>
      <c r="C296" s="27">
        <f t="shared" si="19"/>
        <v>0</v>
      </c>
      <c r="D296" s="27">
        <f>ROUND(C296*'💳 Debt Input'!$C$6/12,2)</f>
        <v>0</v>
      </c>
      <c r="E296" s="27">
        <f>IF(B296="", "", MIN(C296+D296, MAX(P296, $F$3 - SUMIFS(E$10:E295, O$10:O295, O296) - SUMIFS(P297:P$1995, O297:O$1995, O296))))</f>
        <v>0</v>
      </c>
      <c r="F296" s="27">
        <f t="shared" si="16"/>
        <v>0</v>
      </c>
      <c r="G296" s="28" t="str">
        <f t="shared" si="17"/>
        <v>Paid off</v>
      </c>
      <c r="H296" s="29"/>
      <c r="O296" s="68">
        <f t="shared" si="18"/>
        <v>48</v>
      </c>
      <c r="P296" s="68">
        <f>IF(B296="", 0, IFERROR(MIN(C296+D296, VLOOKUP(B296, '💳 Debt Input'!$A:$G, 4, FALSE)), 0))</f>
        <v>0</v>
      </c>
    </row>
    <row r="297" spans="1:16" ht="18" customHeight="1" x14ac:dyDescent="0.35">
      <c r="A297" s="52"/>
      <c r="B297" s="26" t="str">
        <f>'💳 Debt Input'!$A$5</f>
        <v>Medical Bill</v>
      </c>
      <c r="C297" s="27">
        <f t="shared" si="19"/>
        <v>0</v>
      </c>
      <c r="D297" s="27">
        <f>ROUND(C297*'💳 Debt Input'!$C$5/12,2)</f>
        <v>0</v>
      </c>
      <c r="E297" s="27">
        <f>IF(B297="", "", MIN(C297+D297, MAX(P297, $F$3 - SUMIFS(E$10:E296, O$10:O296, O297) - SUMIFS(P298:P$1995, O298:O$1995, O297))))</f>
        <v>0</v>
      </c>
      <c r="F297" s="27">
        <f t="shared" si="16"/>
        <v>0</v>
      </c>
      <c r="G297" s="28" t="str">
        <f t="shared" si="17"/>
        <v>Paid off</v>
      </c>
      <c r="H297" s="29"/>
      <c r="O297" s="68">
        <f t="shared" si="18"/>
        <v>48</v>
      </c>
      <c r="P297" s="68">
        <f>IF(B297="", 0, IFERROR(MIN(C297+D297, VLOOKUP(B297, '💳 Debt Input'!$A:$G, 4, FALSE)), 0))</f>
        <v>0</v>
      </c>
    </row>
    <row r="298" spans="1:16" ht="18" customHeight="1" x14ac:dyDescent="0.35">
      <c r="A298" s="52"/>
      <c r="B298" s="26" t="str">
        <f>'💳 Debt Input'!$A$4</f>
        <v>Store Card</v>
      </c>
      <c r="C298" s="27">
        <f t="shared" si="19"/>
        <v>0</v>
      </c>
      <c r="D298" s="27">
        <f>ROUND(C298*'💳 Debt Input'!$C$4/12,2)</f>
        <v>0</v>
      </c>
      <c r="E298" s="27">
        <f>IF(B298="", "", MIN(C298+D298, MAX(P298, $F$3 - SUMIFS(E$10:E297, O$10:O297, O298) - SUMIFS(P299:P$1995, O299:O$1995, O298))))</f>
        <v>0</v>
      </c>
      <c r="F298" s="27">
        <f t="shared" si="16"/>
        <v>0</v>
      </c>
      <c r="G298" s="28" t="str">
        <f t="shared" si="17"/>
        <v>Paid off</v>
      </c>
      <c r="H298" s="29"/>
      <c r="O298" s="68">
        <f t="shared" si="18"/>
        <v>48</v>
      </c>
      <c r="P298" s="68">
        <f>IF(B298="", 0, IFERROR(MIN(C298+D298, VLOOKUP(B298, '💳 Debt Input'!$A:$G, 4, FALSE)), 0))</f>
        <v>0</v>
      </c>
    </row>
    <row r="299" spans="1:16" ht="18" customHeight="1" x14ac:dyDescent="0.35">
      <c r="A299" s="50">
        <v>49</v>
      </c>
      <c r="B299" s="8" t="str">
        <f>'💳 Debt Input'!$A$9</f>
        <v>Rewards Visa</v>
      </c>
      <c r="C299" s="10">
        <f t="shared" si="19"/>
        <v>11233.8</v>
      </c>
      <c r="D299" s="10">
        <f>ROUND(C299*'💳 Debt Input'!$C$9/12,2)</f>
        <v>337.01</v>
      </c>
      <c r="E299" s="10">
        <f>IF(B299="", "", MIN(C299+D299, MAX(P299, $F$3 - SUMIFS(E$10:E298, O$10:O298, O299) - SUMIFS(P300:P$1995, O300:O$1995, O299))))</f>
        <v>960</v>
      </c>
      <c r="F299" s="10">
        <f t="shared" si="16"/>
        <v>10610.81</v>
      </c>
      <c r="G299" s="19" t="str">
        <f t="shared" si="17"/>
        <v>Active</v>
      </c>
      <c r="H299" s="20"/>
      <c r="O299" s="68">
        <f t="shared" si="18"/>
        <v>49</v>
      </c>
      <c r="P299" s="68">
        <f>IF(B299="", 0, IFERROR(MIN(C299+D299, VLOOKUP(B299, '💳 Debt Input'!$A:$G, 4, FALSE)), 0))</f>
        <v>480</v>
      </c>
    </row>
    <row r="300" spans="1:16" ht="18" customHeight="1" x14ac:dyDescent="0.35">
      <c r="A300" s="52"/>
      <c r="B300" s="26" t="str">
        <f>'💳 Debt Input'!$A$8</f>
        <v>Travel Card</v>
      </c>
      <c r="C300" s="27">
        <f t="shared" si="19"/>
        <v>0</v>
      </c>
      <c r="D300" s="27">
        <f>ROUND(C300*'💳 Debt Input'!$C$8/12,2)</f>
        <v>0</v>
      </c>
      <c r="E300" s="27">
        <f>IF(B300="", "", MIN(C300+D300, MAX(P300, $F$3 - SUMIFS(E$10:E299, O$10:O299, O300) - SUMIFS(P301:P$1995, O301:O$1995, O300))))</f>
        <v>0</v>
      </c>
      <c r="F300" s="27">
        <f t="shared" si="16"/>
        <v>0</v>
      </c>
      <c r="G300" s="28" t="str">
        <f t="shared" si="17"/>
        <v>Paid off</v>
      </c>
      <c r="H300" s="29"/>
      <c r="O300" s="68">
        <f t="shared" si="18"/>
        <v>49</v>
      </c>
      <c r="P300" s="68">
        <f>IF(B300="", 0, IFERROR(MIN(C300+D300, VLOOKUP(B300, '💳 Debt Input'!$A:$G, 4, FALSE)), 0))</f>
        <v>0</v>
      </c>
    </row>
    <row r="301" spans="1:16" ht="18" customHeight="1" x14ac:dyDescent="0.35">
      <c r="A301" s="52"/>
      <c r="B301" s="26" t="str">
        <f>'💳 Debt Input'!$A$7</f>
        <v>Auto Loan</v>
      </c>
      <c r="C301" s="27">
        <f t="shared" si="19"/>
        <v>0</v>
      </c>
      <c r="D301" s="27">
        <f>ROUND(C301*'💳 Debt Input'!$C$7/12,2)</f>
        <v>0</v>
      </c>
      <c r="E301" s="27">
        <f>IF(B301="", "", MIN(C301+D301, MAX(P301, $F$3 - SUMIFS(E$10:E300, O$10:O300, O301) - SUMIFS(P302:P$1995, O302:O$1995, O301))))</f>
        <v>0</v>
      </c>
      <c r="F301" s="27">
        <f t="shared" si="16"/>
        <v>0</v>
      </c>
      <c r="G301" s="28" t="str">
        <f t="shared" si="17"/>
        <v>Paid off</v>
      </c>
      <c r="H301" s="29"/>
      <c r="O301" s="68">
        <f t="shared" si="18"/>
        <v>49</v>
      </c>
      <c r="P301" s="68">
        <f>IF(B301="", 0, IFERROR(MIN(C301+D301, VLOOKUP(B301, '💳 Debt Input'!$A:$G, 4, FALSE)), 0))</f>
        <v>0</v>
      </c>
    </row>
    <row r="302" spans="1:16" ht="18" customHeight="1" x14ac:dyDescent="0.35">
      <c r="A302" s="52"/>
      <c r="B302" s="26" t="str">
        <f>'💳 Debt Input'!$A$6</f>
        <v>Personal Loan</v>
      </c>
      <c r="C302" s="27">
        <f t="shared" si="19"/>
        <v>0</v>
      </c>
      <c r="D302" s="27">
        <f>ROUND(C302*'💳 Debt Input'!$C$6/12,2)</f>
        <v>0</v>
      </c>
      <c r="E302" s="27">
        <f>IF(B302="", "", MIN(C302+D302, MAX(P302, $F$3 - SUMIFS(E$10:E301, O$10:O301, O302) - SUMIFS(P303:P$1995, O303:O$1995, O302))))</f>
        <v>0</v>
      </c>
      <c r="F302" s="27">
        <f t="shared" si="16"/>
        <v>0</v>
      </c>
      <c r="G302" s="28" t="str">
        <f t="shared" si="17"/>
        <v>Paid off</v>
      </c>
      <c r="H302" s="29"/>
      <c r="O302" s="68">
        <f t="shared" si="18"/>
        <v>49</v>
      </c>
      <c r="P302" s="68">
        <f>IF(B302="", 0, IFERROR(MIN(C302+D302, VLOOKUP(B302, '💳 Debt Input'!$A:$G, 4, FALSE)), 0))</f>
        <v>0</v>
      </c>
    </row>
    <row r="303" spans="1:16" ht="18" customHeight="1" x14ac:dyDescent="0.35">
      <c r="A303" s="52"/>
      <c r="B303" s="26" t="str">
        <f>'💳 Debt Input'!$A$5</f>
        <v>Medical Bill</v>
      </c>
      <c r="C303" s="27">
        <f t="shared" si="19"/>
        <v>0</v>
      </c>
      <c r="D303" s="27">
        <f>ROUND(C303*'💳 Debt Input'!$C$5/12,2)</f>
        <v>0</v>
      </c>
      <c r="E303" s="27">
        <f>IF(B303="", "", MIN(C303+D303, MAX(P303, $F$3 - SUMIFS(E$10:E302, O$10:O302, O303) - SUMIFS(P304:P$1995, O304:O$1995, O303))))</f>
        <v>0</v>
      </c>
      <c r="F303" s="27">
        <f t="shared" si="16"/>
        <v>0</v>
      </c>
      <c r="G303" s="28" t="str">
        <f t="shared" si="17"/>
        <v>Paid off</v>
      </c>
      <c r="H303" s="29"/>
      <c r="O303" s="68">
        <f t="shared" si="18"/>
        <v>49</v>
      </c>
      <c r="P303" s="68">
        <f>IF(B303="", 0, IFERROR(MIN(C303+D303, VLOOKUP(B303, '💳 Debt Input'!$A:$G, 4, FALSE)), 0))</f>
        <v>0</v>
      </c>
    </row>
    <row r="304" spans="1:16" ht="18" customHeight="1" x14ac:dyDescent="0.35">
      <c r="A304" s="52"/>
      <c r="B304" s="26" t="str">
        <f>'💳 Debt Input'!$A$4</f>
        <v>Store Card</v>
      </c>
      <c r="C304" s="27">
        <f t="shared" si="19"/>
        <v>0</v>
      </c>
      <c r="D304" s="27">
        <f>ROUND(C304*'💳 Debt Input'!$C$4/12,2)</f>
        <v>0</v>
      </c>
      <c r="E304" s="27">
        <f>IF(B304="", "", MIN(C304+D304, MAX(P304, $F$3 - SUMIFS(E$10:E303, O$10:O303, O304) - SUMIFS(P305:P$1995, O305:O$1995, O304))))</f>
        <v>0</v>
      </c>
      <c r="F304" s="27">
        <f t="shared" si="16"/>
        <v>0</v>
      </c>
      <c r="G304" s="28" t="str">
        <f t="shared" si="17"/>
        <v>Paid off</v>
      </c>
      <c r="H304" s="29"/>
      <c r="O304" s="68">
        <f t="shared" si="18"/>
        <v>49</v>
      </c>
      <c r="P304" s="68">
        <f>IF(B304="", 0, IFERROR(MIN(C304+D304, VLOOKUP(B304, '💳 Debt Input'!$A:$G, 4, FALSE)), 0))</f>
        <v>0</v>
      </c>
    </row>
    <row r="305" spans="1:16" ht="18" customHeight="1" x14ac:dyDescent="0.35">
      <c r="A305" s="48">
        <v>50</v>
      </c>
      <c r="B305" s="6" t="str">
        <f>'💳 Debt Input'!$A$9</f>
        <v>Rewards Visa</v>
      </c>
      <c r="C305" s="12">
        <f t="shared" si="19"/>
        <v>10610.81</v>
      </c>
      <c r="D305" s="12">
        <f>ROUND(C305*'💳 Debt Input'!$C$9/12,2)</f>
        <v>318.32</v>
      </c>
      <c r="E305" s="12">
        <f>IF(B305="", "", MIN(C305+D305, MAX(P305, $F$3 - SUMIFS(E$10:E304, O$10:O304, O305) - SUMIFS(P306:P$1995, O306:O$1995, O305))))</f>
        <v>960</v>
      </c>
      <c r="F305" s="12">
        <f t="shared" si="16"/>
        <v>9969.1299999999992</v>
      </c>
      <c r="G305" s="22" t="str">
        <f t="shared" si="17"/>
        <v>Active</v>
      </c>
      <c r="H305" s="23"/>
      <c r="O305" s="68">
        <f t="shared" si="18"/>
        <v>50</v>
      </c>
      <c r="P305" s="68">
        <f>IF(B305="", 0, IFERROR(MIN(C305+D305, VLOOKUP(B305, '💳 Debt Input'!$A:$G, 4, FALSE)), 0))</f>
        <v>480</v>
      </c>
    </row>
    <row r="306" spans="1:16" ht="18" customHeight="1" x14ac:dyDescent="0.35">
      <c r="A306" s="52"/>
      <c r="B306" s="26" t="str">
        <f>'💳 Debt Input'!$A$8</f>
        <v>Travel Card</v>
      </c>
      <c r="C306" s="27">
        <f t="shared" si="19"/>
        <v>0</v>
      </c>
      <c r="D306" s="27">
        <f>ROUND(C306*'💳 Debt Input'!$C$8/12,2)</f>
        <v>0</v>
      </c>
      <c r="E306" s="27">
        <f>IF(B306="", "", MIN(C306+D306, MAX(P306, $F$3 - SUMIFS(E$10:E305, O$10:O305, O306) - SUMIFS(P307:P$1995, O307:O$1995, O306))))</f>
        <v>0</v>
      </c>
      <c r="F306" s="27">
        <f t="shared" si="16"/>
        <v>0</v>
      </c>
      <c r="G306" s="28" t="str">
        <f t="shared" si="17"/>
        <v>Paid off</v>
      </c>
      <c r="H306" s="29"/>
      <c r="O306" s="68">
        <f t="shared" si="18"/>
        <v>50</v>
      </c>
      <c r="P306" s="68">
        <f>IF(B306="", 0, IFERROR(MIN(C306+D306, VLOOKUP(B306, '💳 Debt Input'!$A:$G, 4, FALSE)), 0))</f>
        <v>0</v>
      </c>
    </row>
    <row r="307" spans="1:16" ht="18" customHeight="1" x14ac:dyDescent="0.35">
      <c r="A307" s="52"/>
      <c r="B307" s="26" t="str">
        <f>'💳 Debt Input'!$A$7</f>
        <v>Auto Loan</v>
      </c>
      <c r="C307" s="27">
        <f t="shared" si="19"/>
        <v>0</v>
      </c>
      <c r="D307" s="27">
        <f>ROUND(C307*'💳 Debt Input'!$C$7/12,2)</f>
        <v>0</v>
      </c>
      <c r="E307" s="27">
        <f>IF(B307="", "", MIN(C307+D307, MAX(P307, $F$3 - SUMIFS(E$10:E306, O$10:O306, O307) - SUMIFS(P308:P$1995, O308:O$1995, O307))))</f>
        <v>0</v>
      </c>
      <c r="F307" s="27">
        <f t="shared" si="16"/>
        <v>0</v>
      </c>
      <c r="G307" s="28" t="str">
        <f t="shared" si="17"/>
        <v>Paid off</v>
      </c>
      <c r="H307" s="29"/>
      <c r="O307" s="68">
        <f t="shared" si="18"/>
        <v>50</v>
      </c>
      <c r="P307" s="68">
        <f>IF(B307="", 0, IFERROR(MIN(C307+D307, VLOOKUP(B307, '💳 Debt Input'!$A:$G, 4, FALSE)), 0))</f>
        <v>0</v>
      </c>
    </row>
    <row r="308" spans="1:16" ht="18" customHeight="1" x14ac:dyDescent="0.35">
      <c r="A308" s="52"/>
      <c r="B308" s="26" t="str">
        <f>'💳 Debt Input'!$A$6</f>
        <v>Personal Loan</v>
      </c>
      <c r="C308" s="27">
        <f t="shared" si="19"/>
        <v>0</v>
      </c>
      <c r="D308" s="27">
        <f>ROUND(C308*'💳 Debt Input'!$C$6/12,2)</f>
        <v>0</v>
      </c>
      <c r="E308" s="27">
        <f>IF(B308="", "", MIN(C308+D308, MAX(P308, $F$3 - SUMIFS(E$10:E307, O$10:O307, O308) - SUMIFS(P309:P$1995, O309:O$1995, O308))))</f>
        <v>0</v>
      </c>
      <c r="F308" s="27">
        <f t="shared" si="16"/>
        <v>0</v>
      </c>
      <c r="G308" s="28" t="str">
        <f t="shared" si="17"/>
        <v>Paid off</v>
      </c>
      <c r="H308" s="29"/>
      <c r="O308" s="68">
        <f t="shared" si="18"/>
        <v>50</v>
      </c>
      <c r="P308" s="68">
        <f>IF(B308="", 0, IFERROR(MIN(C308+D308, VLOOKUP(B308, '💳 Debt Input'!$A:$G, 4, FALSE)), 0))</f>
        <v>0</v>
      </c>
    </row>
    <row r="309" spans="1:16" ht="18" customHeight="1" x14ac:dyDescent="0.35">
      <c r="A309" s="52"/>
      <c r="B309" s="26" t="str">
        <f>'💳 Debt Input'!$A$5</f>
        <v>Medical Bill</v>
      </c>
      <c r="C309" s="27">
        <f t="shared" si="19"/>
        <v>0</v>
      </c>
      <c r="D309" s="27">
        <f>ROUND(C309*'💳 Debt Input'!$C$5/12,2)</f>
        <v>0</v>
      </c>
      <c r="E309" s="27">
        <f>IF(B309="", "", MIN(C309+D309, MAX(P309, $F$3 - SUMIFS(E$10:E308, O$10:O308, O309) - SUMIFS(P310:P$1995, O310:O$1995, O309))))</f>
        <v>0</v>
      </c>
      <c r="F309" s="27">
        <f t="shared" si="16"/>
        <v>0</v>
      </c>
      <c r="G309" s="28" t="str">
        <f t="shared" si="17"/>
        <v>Paid off</v>
      </c>
      <c r="H309" s="29"/>
      <c r="O309" s="68">
        <f t="shared" si="18"/>
        <v>50</v>
      </c>
      <c r="P309" s="68">
        <f>IF(B309="", 0, IFERROR(MIN(C309+D309, VLOOKUP(B309, '💳 Debt Input'!$A:$G, 4, FALSE)), 0))</f>
        <v>0</v>
      </c>
    </row>
    <row r="310" spans="1:16" ht="18" customHeight="1" x14ac:dyDescent="0.35">
      <c r="A310" s="52"/>
      <c r="B310" s="26" t="str">
        <f>'💳 Debt Input'!$A$4</f>
        <v>Store Card</v>
      </c>
      <c r="C310" s="27">
        <f t="shared" si="19"/>
        <v>0</v>
      </c>
      <c r="D310" s="27">
        <f>ROUND(C310*'💳 Debt Input'!$C$4/12,2)</f>
        <v>0</v>
      </c>
      <c r="E310" s="27">
        <f>IF(B310="", "", MIN(C310+D310, MAX(P310, $F$3 - SUMIFS(E$10:E309, O$10:O309, O310) - SUMIFS(P311:P$1995, O311:O$1995, O310))))</f>
        <v>0</v>
      </c>
      <c r="F310" s="27">
        <f t="shared" si="16"/>
        <v>0</v>
      </c>
      <c r="G310" s="28" t="str">
        <f t="shared" si="17"/>
        <v>Paid off</v>
      </c>
      <c r="H310" s="29"/>
      <c r="O310" s="68">
        <f t="shared" si="18"/>
        <v>50</v>
      </c>
      <c r="P310" s="68">
        <f>IF(B310="", 0, IFERROR(MIN(C310+D310, VLOOKUP(B310, '💳 Debt Input'!$A:$G, 4, FALSE)), 0))</f>
        <v>0</v>
      </c>
    </row>
    <row r="311" spans="1:16" ht="18" customHeight="1" x14ac:dyDescent="0.35">
      <c r="A311" s="50">
        <v>51</v>
      </c>
      <c r="B311" s="8" t="str">
        <f>'💳 Debt Input'!$A$9</f>
        <v>Rewards Visa</v>
      </c>
      <c r="C311" s="10">
        <f t="shared" si="19"/>
        <v>9969.1299999999992</v>
      </c>
      <c r="D311" s="10">
        <f>ROUND(C311*'💳 Debt Input'!$C$9/12,2)</f>
        <v>299.07</v>
      </c>
      <c r="E311" s="10">
        <f>IF(B311="", "", MIN(C311+D311, MAX(P311, $F$3 - SUMIFS(E$10:E310, O$10:O310, O311) - SUMIFS(P312:P$1995, O312:O$1995, O311))))</f>
        <v>960</v>
      </c>
      <c r="F311" s="10">
        <f t="shared" si="16"/>
        <v>9308.2000000000007</v>
      </c>
      <c r="G311" s="19" t="str">
        <f t="shared" si="17"/>
        <v>Active</v>
      </c>
      <c r="H311" s="20"/>
      <c r="O311" s="68">
        <f t="shared" si="18"/>
        <v>51</v>
      </c>
      <c r="P311" s="68">
        <f>IF(B311="", 0, IFERROR(MIN(C311+D311, VLOOKUP(B311, '💳 Debt Input'!$A:$G, 4, FALSE)), 0))</f>
        <v>480</v>
      </c>
    </row>
    <row r="312" spans="1:16" ht="18" customHeight="1" x14ac:dyDescent="0.35">
      <c r="A312" s="52"/>
      <c r="B312" s="26" t="str">
        <f>'💳 Debt Input'!$A$8</f>
        <v>Travel Card</v>
      </c>
      <c r="C312" s="27">
        <f t="shared" si="19"/>
        <v>0</v>
      </c>
      <c r="D312" s="27">
        <f>ROUND(C312*'💳 Debt Input'!$C$8/12,2)</f>
        <v>0</v>
      </c>
      <c r="E312" s="27">
        <f>IF(B312="", "", MIN(C312+D312, MAX(P312, $F$3 - SUMIFS(E$10:E311, O$10:O311, O312) - SUMIFS(P313:P$1995, O313:O$1995, O312))))</f>
        <v>0</v>
      </c>
      <c r="F312" s="27">
        <f t="shared" si="16"/>
        <v>0</v>
      </c>
      <c r="G312" s="28" t="str">
        <f t="shared" si="17"/>
        <v>Paid off</v>
      </c>
      <c r="H312" s="29"/>
      <c r="O312" s="68">
        <f t="shared" si="18"/>
        <v>51</v>
      </c>
      <c r="P312" s="68">
        <f>IF(B312="", 0, IFERROR(MIN(C312+D312, VLOOKUP(B312, '💳 Debt Input'!$A:$G, 4, FALSE)), 0))</f>
        <v>0</v>
      </c>
    </row>
    <row r="313" spans="1:16" ht="18" customHeight="1" x14ac:dyDescent="0.35">
      <c r="A313" s="52"/>
      <c r="B313" s="26" t="str">
        <f>'💳 Debt Input'!$A$7</f>
        <v>Auto Loan</v>
      </c>
      <c r="C313" s="27">
        <f t="shared" si="19"/>
        <v>0</v>
      </c>
      <c r="D313" s="27">
        <f>ROUND(C313*'💳 Debt Input'!$C$7/12,2)</f>
        <v>0</v>
      </c>
      <c r="E313" s="27">
        <f>IF(B313="", "", MIN(C313+D313, MAX(P313, $F$3 - SUMIFS(E$10:E312, O$10:O312, O313) - SUMIFS(P314:P$1995, O314:O$1995, O313))))</f>
        <v>0</v>
      </c>
      <c r="F313" s="27">
        <f t="shared" si="16"/>
        <v>0</v>
      </c>
      <c r="G313" s="28" t="str">
        <f t="shared" si="17"/>
        <v>Paid off</v>
      </c>
      <c r="H313" s="29"/>
      <c r="O313" s="68">
        <f t="shared" si="18"/>
        <v>51</v>
      </c>
      <c r="P313" s="68">
        <f>IF(B313="", 0, IFERROR(MIN(C313+D313, VLOOKUP(B313, '💳 Debt Input'!$A:$G, 4, FALSE)), 0))</f>
        <v>0</v>
      </c>
    </row>
    <row r="314" spans="1:16" ht="18" customHeight="1" x14ac:dyDescent="0.35">
      <c r="A314" s="52"/>
      <c r="B314" s="26" t="str">
        <f>'💳 Debt Input'!$A$6</f>
        <v>Personal Loan</v>
      </c>
      <c r="C314" s="27">
        <f t="shared" si="19"/>
        <v>0</v>
      </c>
      <c r="D314" s="27">
        <f>ROUND(C314*'💳 Debt Input'!$C$6/12,2)</f>
        <v>0</v>
      </c>
      <c r="E314" s="27">
        <f>IF(B314="", "", MIN(C314+D314, MAX(P314, $F$3 - SUMIFS(E$10:E313, O$10:O313, O314) - SUMIFS(P315:P$1995, O315:O$1995, O314))))</f>
        <v>0</v>
      </c>
      <c r="F314" s="27">
        <f t="shared" si="16"/>
        <v>0</v>
      </c>
      <c r="G314" s="28" t="str">
        <f t="shared" si="17"/>
        <v>Paid off</v>
      </c>
      <c r="H314" s="29"/>
      <c r="O314" s="68">
        <f t="shared" si="18"/>
        <v>51</v>
      </c>
      <c r="P314" s="68">
        <f>IF(B314="", 0, IFERROR(MIN(C314+D314, VLOOKUP(B314, '💳 Debt Input'!$A:$G, 4, FALSE)), 0))</f>
        <v>0</v>
      </c>
    </row>
    <row r="315" spans="1:16" ht="18" customHeight="1" x14ac:dyDescent="0.35">
      <c r="A315" s="52"/>
      <c r="B315" s="26" t="str">
        <f>'💳 Debt Input'!$A$5</f>
        <v>Medical Bill</v>
      </c>
      <c r="C315" s="27">
        <f t="shared" si="19"/>
        <v>0</v>
      </c>
      <c r="D315" s="27">
        <f>ROUND(C315*'💳 Debt Input'!$C$5/12,2)</f>
        <v>0</v>
      </c>
      <c r="E315" s="27">
        <f>IF(B315="", "", MIN(C315+D315, MAX(P315, $F$3 - SUMIFS(E$10:E314, O$10:O314, O315) - SUMIFS(P316:P$1995, O316:O$1995, O315))))</f>
        <v>0</v>
      </c>
      <c r="F315" s="27">
        <f t="shared" si="16"/>
        <v>0</v>
      </c>
      <c r="G315" s="28" t="str">
        <f t="shared" si="17"/>
        <v>Paid off</v>
      </c>
      <c r="H315" s="29"/>
      <c r="O315" s="68">
        <f t="shared" si="18"/>
        <v>51</v>
      </c>
      <c r="P315" s="68">
        <f>IF(B315="", 0, IFERROR(MIN(C315+D315, VLOOKUP(B315, '💳 Debt Input'!$A:$G, 4, FALSE)), 0))</f>
        <v>0</v>
      </c>
    </row>
    <row r="316" spans="1:16" ht="18" customHeight="1" x14ac:dyDescent="0.35">
      <c r="A316" s="52"/>
      <c r="B316" s="26" t="str">
        <f>'💳 Debt Input'!$A$4</f>
        <v>Store Card</v>
      </c>
      <c r="C316" s="27">
        <f t="shared" si="19"/>
        <v>0</v>
      </c>
      <c r="D316" s="27">
        <f>ROUND(C316*'💳 Debt Input'!$C$4/12,2)</f>
        <v>0</v>
      </c>
      <c r="E316" s="27">
        <f>IF(B316="", "", MIN(C316+D316, MAX(P316, $F$3 - SUMIFS(E$10:E315, O$10:O315, O316) - SUMIFS(P317:P$1995, O317:O$1995, O316))))</f>
        <v>0</v>
      </c>
      <c r="F316" s="27">
        <f t="shared" si="16"/>
        <v>0</v>
      </c>
      <c r="G316" s="28" t="str">
        <f t="shared" si="17"/>
        <v>Paid off</v>
      </c>
      <c r="H316" s="29"/>
      <c r="O316" s="68">
        <f t="shared" si="18"/>
        <v>51</v>
      </c>
      <c r="P316" s="68">
        <f>IF(B316="", 0, IFERROR(MIN(C316+D316, VLOOKUP(B316, '💳 Debt Input'!$A:$G, 4, FALSE)), 0))</f>
        <v>0</v>
      </c>
    </row>
    <row r="317" spans="1:16" ht="18" customHeight="1" x14ac:dyDescent="0.35">
      <c r="A317" s="48">
        <v>52</v>
      </c>
      <c r="B317" s="6" t="str">
        <f>'💳 Debt Input'!$A$9</f>
        <v>Rewards Visa</v>
      </c>
      <c r="C317" s="12">
        <f t="shared" si="19"/>
        <v>9308.2000000000007</v>
      </c>
      <c r="D317" s="12">
        <f>ROUND(C317*'💳 Debt Input'!$C$9/12,2)</f>
        <v>279.25</v>
      </c>
      <c r="E317" s="12">
        <f>IF(B317="", "", MIN(C317+D317, MAX(P317, $F$3 - SUMIFS(E$10:E316, O$10:O316, O317) - SUMIFS(P318:P$1995, O318:O$1995, O317))))</f>
        <v>960</v>
      </c>
      <c r="F317" s="12">
        <f t="shared" si="16"/>
        <v>8627.4500000000007</v>
      </c>
      <c r="G317" s="22" t="str">
        <f t="shared" si="17"/>
        <v>Active</v>
      </c>
      <c r="H317" s="23"/>
      <c r="O317" s="68">
        <f t="shared" si="18"/>
        <v>52</v>
      </c>
      <c r="P317" s="68">
        <f>IF(B317="", 0, IFERROR(MIN(C317+D317, VLOOKUP(B317, '💳 Debt Input'!$A:$G, 4, FALSE)), 0))</f>
        <v>480</v>
      </c>
    </row>
    <row r="318" spans="1:16" ht="18" customHeight="1" x14ac:dyDescent="0.35">
      <c r="A318" s="52"/>
      <c r="B318" s="26" t="str">
        <f>'💳 Debt Input'!$A$8</f>
        <v>Travel Card</v>
      </c>
      <c r="C318" s="27">
        <f t="shared" si="19"/>
        <v>0</v>
      </c>
      <c r="D318" s="27">
        <f>ROUND(C318*'💳 Debt Input'!$C$8/12,2)</f>
        <v>0</v>
      </c>
      <c r="E318" s="27">
        <f>IF(B318="", "", MIN(C318+D318, MAX(P318, $F$3 - SUMIFS(E$10:E317, O$10:O317, O318) - SUMIFS(P319:P$1995, O319:O$1995, O318))))</f>
        <v>0</v>
      </c>
      <c r="F318" s="27">
        <f t="shared" si="16"/>
        <v>0</v>
      </c>
      <c r="G318" s="28" t="str">
        <f t="shared" si="17"/>
        <v>Paid off</v>
      </c>
      <c r="H318" s="29"/>
      <c r="O318" s="68">
        <f t="shared" si="18"/>
        <v>52</v>
      </c>
      <c r="P318" s="68">
        <f>IF(B318="", 0, IFERROR(MIN(C318+D318, VLOOKUP(B318, '💳 Debt Input'!$A:$G, 4, FALSE)), 0))</f>
        <v>0</v>
      </c>
    </row>
    <row r="319" spans="1:16" ht="18" customHeight="1" x14ac:dyDescent="0.35">
      <c r="A319" s="52"/>
      <c r="B319" s="26" t="str">
        <f>'💳 Debt Input'!$A$7</f>
        <v>Auto Loan</v>
      </c>
      <c r="C319" s="27">
        <f t="shared" si="19"/>
        <v>0</v>
      </c>
      <c r="D319" s="27">
        <f>ROUND(C319*'💳 Debt Input'!$C$7/12,2)</f>
        <v>0</v>
      </c>
      <c r="E319" s="27">
        <f>IF(B319="", "", MIN(C319+D319, MAX(P319, $F$3 - SUMIFS(E$10:E318, O$10:O318, O319) - SUMIFS(P320:P$1995, O320:O$1995, O319))))</f>
        <v>0</v>
      </c>
      <c r="F319" s="27">
        <f t="shared" si="16"/>
        <v>0</v>
      </c>
      <c r="G319" s="28" t="str">
        <f t="shared" si="17"/>
        <v>Paid off</v>
      </c>
      <c r="H319" s="29"/>
      <c r="O319" s="68">
        <f t="shared" si="18"/>
        <v>52</v>
      </c>
      <c r="P319" s="68">
        <f>IF(B319="", 0, IFERROR(MIN(C319+D319, VLOOKUP(B319, '💳 Debt Input'!$A:$G, 4, FALSE)), 0))</f>
        <v>0</v>
      </c>
    </row>
    <row r="320" spans="1:16" ht="18" customHeight="1" x14ac:dyDescent="0.35">
      <c r="A320" s="52"/>
      <c r="B320" s="26" t="str">
        <f>'💳 Debt Input'!$A$6</f>
        <v>Personal Loan</v>
      </c>
      <c r="C320" s="27">
        <f t="shared" si="19"/>
        <v>0</v>
      </c>
      <c r="D320" s="27">
        <f>ROUND(C320*'💳 Debt Input'!$C$6/12,2)</f>
        <v>0</v>
      </c>
      <c r="E320" s="27">
        <f>IF(B320="", "", MIN(C320+D320, MAX(P320, $F$3 - SUMIFS(E$10:E319, O$10:O319, O320) - SUMIFS(P321:P$1995, O321:O$1995, O320))))</f>
        <v>0</v>
      </c>
      <c r="F320" s="27">
        <f t="shared" si="16"/>
        <v>0</v>
      </c>
      <c r="G320" s="28" t="str">
        <f t="shared" si="17"/>
        <v>Paid off</v>
      </c>
      <c r="H320" s="29"/>
      <c r="O320" s="68">
        <f t="shared" si="18"/>
        <v>52</v>
      </c>
      <c r="P320" s="68">
        <f>IF(B320="", 0, IFERROR(MIN(C320+D320, VLOOKUP(B320, '💳 Debt Input'!$A:$G, 4, FALSE)), 0))</f>
        <v>0</v>
      </c>
    </row>
    <row r="321" spans="1:16" ht="18" customHeight="1" x14ac:dyDescent="0.35">
      <c r="A321" s="52"/>
      <c r="B321" s="26" t="str">
        <f>'💳 Debt Input'!$A$5</f>
        <v>Medical Bill</v>
      </c>
      <c r="C321" s="27">
        <f t="shared" si="19"/>
        <v>0</v>
      </c>
      <c r="D321" s="27">
        <f>ROUND(C321*'💳 Debt Input'!$C$5/12,2)</f>
        <v>0</v>
      </c>
      <c r="E321" s="27">
        <f>IF(B321="", "", MIN(C321+D321, MAX(P321, $F$3 - SUMIFS(E$10:E320, O$10:O320, O321) - SUMIFS(P322:P$1995, O322:O$1995, O321))))</f>
        <v>0</v>
      </c>
      <c r="F321" s="27">
        <f t="shared" si="16"/>
        <v>0</v>
      </c>
      <c r="G321" s="28" t="str">
        <f t="shared" si="17"/>
        <v>Paid off</v>
      </c>
      <c r="H321" s="29"/>
      <c r="O321" s="68">
        <f t="shared" si="18"/>
        <v>52</v>
      </c>
      <c r="P321" s="68">
        <f>IF(B321="", 0, IFERROR(MIN(C321+D321, VLOOKUP(B321, '💳 Debt Input'!$A:$G, 4, FALSE)), 0))</f>
        <v>0</v>
      </c>
    </row>
    <row r="322" spans="1:16" ht="18" customHeight="1" x14ac:dyDescent="0.35">
      <c r="A322" s="52"/>
      <c r="B322" s="26" t="str">
        <f>'💳 Debt Input'!$A$4</f>
        <v>Store Card</v>
      </c>
      <c r="C322" s="27">
        <f t="shared" si="19"/>
        <v>0</v>
      </c>
      <c r="D322" s="27">
        <f>ROUND(C322*'💳 Debt Input'!$C$4/12,2)</f>
        <v>0</v>
      </c>
      <c r="E322" s="27">
        <f>IF(B322="", "", MIN(C322+D322, MAX(P322, $F$3 - SUMIFS(E$10:E321, O$10:O321, O322) - SUMIFS(P323:P$1995, O323:O$1995, O322))))</f>
        <v>0</v>
      </c>
      <c r="F322" s="27">
        <f t="shared" si="16"/>
        <v>0</v>
      </c>
      <c r="G322" s="28" t="str">
        <f t="shared" si="17"/>
        <v>Paid off</v>
      </c>
      <c r="H322" s="29"/>
      <c r="O322" s="68">
        <f t="shared" si="18"/>
        <v>52</v>
      </c>
      <c r="P322" s="68">
        <f>IF(B322="", 0, IFERROR(MIN(C322+D322, VLOOKUP(B322, '💳 Debt Input'!$A:$G, 4, FALSE)), 0))</f>
        <v>0</v>
      </c>
    </row>
    <row r="323" spans="1:16" ht="18" customHeight="1" x14ac:dyDescent="0.35">
      <c r="A323" s="50">
        <v>53</v>
      </c>
      <c r="B323" s="8" t="str">
        <f>'💳 Debt Input'!$A$9</f>
        <v>Rewards Visa</v>
      </c>
      <c r="C323" s="10">
        <f t="shared" si="19"/>
        <v>8627.4500000000007</v>
      </c>
      <c r="D323" s="10">
        <f>ROUND(C323*'💳 Debt Input'!$C$9/12,2)</f>
        <v>258.82</v>
      </c>
      <c r="E323" s="10">
        <f>IF(B323="", "", MIN(C323+D323, MAX(P323, $F$3 - SUMIFS(E$10:E322, O$10:O322, O323) - SUMIFS(P324:P$1995, O324:O$1995, O323))))</f>
        <v>960</v>
      </c>
      <c r="F323" s="10">
        <f t="shared" si="16"/>
        <v>7926.27</v>
      </c>
      <c r="G323" s="19" t="str">
        <f t="shared" si="17"/>
        <v>Active</v>
      </c>
      <c r="H323" s="20"/>
      <c r="O323" s="68">
        <f t="shared" si="18"/>
        <v>53</v>
      </c>
      <c r="P323" s="68">
        <f>IF(B323="", 0, IFERROR(MIN(C323+D323, VLOOKUP(B323, '💳 Debt Input'!$A:$G, 4, FALSE)), 0))</f>
        <v>480</v>
      </c>
    </row>
    <row r="324" spans="1:16" ht="18" customHeight="1" x14ac:dyDescent="0.35">
      <c r="A324" s="52"/>
      <c r="B324" s="26" t="str">
        <f>'💳 Debt Input'!$A$8</f>
        <v>Travel Card</v>
      </c>
      <c r="C324" s="27">
        <f t="shared" si="19"/>
        <v>0</v>
      </c>
      <c r="D324" s="27">
        <f>ROUND(C324*'💳 Debt Input'!$C$8/12,2)</f>
        <v>0</v>
      </c>
      <c r="E324" s="27">
        <f>IF(B324="", "", MIN(C324+D324, MAX(P324, $F$3 - SUMIFS(E$10:E323, O$10:O323, O324) - SUMIFS(P325:P$1995, O325:O$1995, O324))))</f>
        <v>0</v>
      </c>
      <c r="F324" s="27">
        <f t="shared" si="16"/>
        <v>0</v>
      </c>
      <c r="G324" s="28" t="str">
        <f t="shared" si="17"/>
        <v>Paid off</v>
      </c>
      <c r="H324" s="29"/>
      <c r="O324" s="68">
        <f t="shared" si="18"/>
        <v>53</v>
      </c>
      <c r="P324" s="68">
        <f>IF(B324="", 0, IFERROR(MIN(C324+D324, VLOOKUP(B324, '💳 Debt Input'!$A:$G, 4, FALSE)), 0))</f>
        <v>0</v>
      </c>
    </row>
    <row r="325" spans="1:16" ht="18" customHeight="1" x14ac:dyDescent="0.35">
      <c r="A325" s="52"/>
      <c r="B325" s="26" t="str">
        <f>'💳 Debt Input'!$A$7</f>
        <v>Auto Loan</v>
      </c>
      <c r="C325" s="27">
        <f t="shared" si="19"/>
        <v>0</v>
      </c>
      <c r="D325" s="27">
        <f>ROUND(C325*'💳 Debt Input'!$C$7/12,2)</f>
        <v>0</v>
      </c>
      <c r="E325" s="27">
        <f>IF(B325="", "", MIN(C325+D325, MAX(P325, $F$3 - SUMIFS(E$10:E324, O$10:O324, O325) - SUMIFS(P326:P$1995, O326:O$1995, O325))))</f>
        <v>0</v>
      </c>
      <c r="F325" s="27">
        <f t="shared" si="16"/>
        <v>0</v>
      </c>
      <c r="G325" s="28" t="str">
        <f t="shared" si="17"/>
        <v>Paid off</v>
      </c>
      <c r="H325" s="29"/>
      <c r="O325" s="68">
        <f t="shared" si="18"/>
        <v>53</v>
      </c>
      <c r="P325" s="68">
        <f>IF(B325="", 0, IFERROR(MIN(C325+D325, VLOOKUP(B325, '💳 Debt Input'!$A:$G, 4, FALSE)), 0))</f>
        <v>0</v>
      </c>
    </row>
    <row r="326" spans="1:16" ht="18" customHeight="1" x14ac:dyDescent="0.35">
      <c r="A326" s="52"/>
      <c r="B326" s="26" t="str">
        <f>'💳 Debt Input'!$A$6</f>
        <v>Personal Loan</v>
      </c>
      <c r="C326" s="27">
        <f t="shared" si="19"/>
        <v>0</v>
      </c>
      <c r="D326" s="27">
        <f>ROUND(C326*'💳 Debt Input'!$C$6/12,2)</f>
        <v>0</v>
      </c>
      <c r="E326" s="27">
        <f>IF(B326="", "", MIN(C326+D326, MAX(P326, $F$3 - SUMIFS(E$10:E325, O$10:O325, O326) - SUMIFS(P327:P$1995, O327:O$1995, O326))))</f>
        <v>0</v>
      </c>
      <c r="F326" s="27">
        <f t="shared" si="16"/>
        <v>0</v>
      </c>
      <c r="G326" s="28" t="str">
        <f t="shared" si="17"/>
        <v>Paid off</v>
      </c>
      <c r="H326" s="29"/>
      <c r="O326" s="68">
        <f t="shared" si="18"/>
        <v>53</v>
      </c>
      <c r="P326" s="68">
        <f>IF(B326="", 0, IFERROR(MIN(C326+D326, VLOOKUP(B326, '💳 Debt Input'!$A:$G, 4, FALSE)), 0))</f>
        <v>0</v>
      </c>
    </row>
    <row r="327" spans="1:16" ht="18" customHeight="1" x14ac:dyDescent="0.35">
      <c r="A327" s="52"/>
      <c r="B327" s="26" t="str">
        <f>'💳 Debt Input'!$A$5</f>
        <v>Medical Bill</v>
      </c>
      <c r="C327" s="27">
        <f t="shared" si="19"/>
        <v>0</v>
      </c>
      <c r="D327" s="27">
        <f>ROUND(C327*'💳 Debt Input'!$C$5/12,2)</f>
        <v>0</v>
      </c>
      <c r="E327" s="27">
        <f>IF(B327="", "", MIN(C327+D327, MAX(P327, $F$3 - SUMIFS(E$10:E326, O$10:O326, O327) - SUMIFS(P328:P$1995, O328:O$1995, O327))))</f>
        <v>0</v>
      </c>
      <c r="F327" s="27">
        <f t="shared" si="16"/>
        <v>0</v>
      </c>
      <c r="G327" s="28" t="str">
        <f t="shared" si="17"/>
        <v>Paid off</v>
      </c>
      <c r="H327" s="29"/>
      <c r="O327" s="68">
        <f t="shared" si="18"/>
        <v>53</v>
      </c>
      <c r="P327" s="68">
        <f>IF(B327="", 0, IFERROR(MIN(C327+D327, VLOOKUP(B327, '💳 Debt Input'!$A:$G, 4, FALSE)), 0))</f>
        <v>0</v>
      </c>
    </row>
    <row r="328" spans="1:16" ht="18" customHeight="1" x14ac:dyDescent="0.35">
      <c r="A328" s="52"/>
      <c r="B328" s="26" t="str">
        <f>'💳 Debt Input'!$A$4</f>
        <v>Store Card</v>
      </c>
      <c r="C328" s="27">
        <f t="shared" si="19"/>
        <v>0</v>
      </c>
      <c r="D328" s="27">
        <f>ROUND(C328*'💳 Debt Input'!$C$4/12,2)</f>
        <v>0</v>
      </c>
      <c r="E328" s="27">
        <f>IF(B328="", "", MIN(C328+D328, MAX(P328, $F$3 - SUMIFS(E$10:E327, O$10:O327, O328) - SUMIFS(P329:P$1995, O329:O$1995, O328))))</f>
        <v>0</v>
      </c>
      <c r="F328" s="27">
        <f t="shared" si="16"/>
        <v>0</v>
      </c>
      <c r="G328" s="28" t="str">
        <f t="shared" si="17"/>
        <v>Paid off</v>
      </c>
      <c r="H328" s="29"/>
      <c r="O328" s="68">
        <f t="shared" si="18"/>
        <v>53</v>
      </c>
      <c r="P328" s="68">
        <f>IF(B328="", 0, IFERROR(MIN(C328+D328, VLOOKUP(B328, '💳 Debt Input'!$A:$G, 4, FALSE)), 0))</f>
        <v>0</v>
      </c>
    </row>
    <row r="329" spans="1:16" ht="18" customHeight="1" x14ac:dyDescent="0.35">
      <c r="A329" s="48">
        <v>54</v>
      </c>
      <c r="B329" s="6" t="str">
        <f>'💳 Debt Input'!$A$9</f>
        <v>Rewards Visa</v>
      </c>
      <c r="C329" s="12">
        <f t="shared" si="19"/>
        <v>7926.27</v>
      </c>
      <c r="D329" s="12">
        <f>ROUND(C329*'💳 Debt Input'!$C$9/12,2)</f>
        <v>237.79</v>
      </c>
      <c r="E329" s="12">
        <f>IF(B329="", "", MIN(C329+D329, MAX(P329, $F$3 - SUMIFS(E$10:E328, O$10:O328, O329) - SUMIFS(P330:P$1995, O330:O$1995, O329))))</f>
        <v>960</v>
      </c>
      <c r="F329" s="12">
        <f t="shared" si="16"/>
        <v>7204.06</v>
      </c>
      <c r="G329" s="22" t="str">
        <f t="shared" si="17"/>
        <v>Active</v>
      </c>
      <c r="H329" s="23"/>
      <c r="O329" s="68">
        <f t="shared" si="18"/>
        <v>54</v>
      </c>
      <c r="P329" s="68">
        <f>IF(B329="", 0, IFERROR(MIN(C329+D329, VLOOKUP(B329, '💳 Debt Input'!$A:$G, 4, FALSE)), 0))</f>
        <v>480</v>
      </c>
    </row>
    <row r="330" spans="1:16" ht="18" customHeight="1" x14ac:dyDescent="0.35">
      <c r="A330" s="52"/>
      <c r="B330" s="26" t="str">
        <f>'💳 Debt Input'!$A$8</f>
        <v>Travel Card</v>
      </c>
      <c r="C330" s="27">
        <f t="shared" si="19"/>
        <v>0</v>
      </c>
      <c r="D330" s="27">
        <f>ROUND(C330*'💳 Debt Input'!$C$8/12,2)</f>
        <v>0</v>
      </c>
      <c r="E330" s="27">
        <f>IF(B330="", "", MIN(C330+D330, MAX(P330, $F$3 - SUMIFS(E$10:E329, O$10:O329, O330) - SUMIFS(P331:P$1995, O331:O$1995, O330))))</f>
        <v>0</v>
      </c>
      <c r="F330" s="27">
        <f t="shared" si="16"/>
        <v>0</v>
      </c>
      <c r="G330" s="28" t="str">
        <f t="shared" si="17"/>
        <v>Paid off</v>
      </c>
      <c r="H330" s="29"/>
      <c r="O330" s="68">
        <f t="shared" si="18"/>
        <v>54</v>
      </c>
      <c r="P330" s="68">
        <f>IF(B330="", 0, IFERROR(MIN(C330+D330, VLOOKUP(B330, '💳 Debt Input'!$A:$G, 4, FALSE)), 0))</f>
        <v>0</v>
      </c>
    </row>
    <row r="331" spans="1:16" ht="18" customHeight="1" x14ac:dyDescent="0.35">
      <c r="A331" s="52"/>
      <c r="B331" s="26" t="str">
        <f>'💳 Debt Input'!$A$7</f>
        <v>Auto Loan</v>
      </c>
      <c r="C331" s="27">
        <f t="shared" si="19"/>
        <v>0</v>
      </c>
      <c r="D331" s="27">
        <f>ROUND(C331*'💳 Debt Input'!$C$7/12,2)</f>
        <v>0</v>
      </c>
      <c r="E331" s="27">
        <f>IF(B331="", "", MIN(C331+D331, MAX(P331, $F$3 - SUMIFS(E$10:E330, O$10:O330, O331) - SUMIFS(P332:P$1995, O332:O$1995, O331))))</f>
        <v>0</v>
      </c>
      <c r="F331" s="27">
        <f t="shared" ref="F331:F388" si="20">ROUND(MAX(0,C331+D331-E331),2)</f>
        <v>0</v>
      </c>
      <c r="G331" s="28" t="str">
        <f t="shared" ref="G331:G388" si="21">IF(F331=0,"Paid off","Active")</f>
        <v>Paid off</v>
      </c>
      <c r="H331" s="29"/>
      <c r="O331" s="68">
        <f t="shared" ref="O331:O394" si="22">IF(A331&lt;&gt;"", A331, O330)</f>
        <v>54</v>
      </c>
      <c r="P331" s="68">
        <f>IF(B331="", 0, IFERROR(MIN(C331+D331, VLOOKUP(B331, '💳 Debt Input'!$A:$G, 4, FALSE)), 0))</f>
        <v>0</v>
      </c>
    </row>
    <row r="332" spans="1:16" ht="18" customHeight="1" x14ac:dyDescent="0.35">
      <c r="A332" s="52"/>
      <c r="B332" s="26" t="str">
        <f>'💳 Debt Input'!$A$6</f>
        <v>Personal Loan</v>
      </c>
      <c r="C332" s="27">
        <f t="shared" si="19"/>
        <v>0</v>
      </c>
      <c r="D332" s="27">
        <f>ROUND(C332*'💳 Debt Input'!$C$6/12,2)</f>
        <v>0</v>
      </c>
      <c r="E332" s="27">
        <f>IF(B332="", "", MIN(C332+D332, MAX(P332, $F$3 - SUMIFS(E$10:E331, O$10:O331, O332) - SUMIFS(P333:P$1995, O333:O$1995, O332))))</f>
        <v>0</v>
      </c>
      <c r="F332" s="27">
        <f t="shared" si="20"/>
        <v>0</v>
      </c>
      <c r="G332" s="28" t="str">
        <f t="shared" si="21"/>
        <v>Paid off</v>
      </c>
      <c r="H332" s="29"/>
      <c r="O332" s="68">
        <f t="shared" si="22"/>
        <v>54</v>
      </c>
      <c r="P332" s="68">
        <f>IF(B332="", 0, IFERROR(MIN(C332+D332, VLOOKUP(B332, '💳 Debt Input'!$A:$G, 4, FALSE)), 0))</f>
        <v>0</v>
      </c>
    </row>
    <row r="333" spans="1:16" ht="18" customHeight="1" x14ac:dyDescent="0.35">
      <c r="A333" s="52"/>
      <c r="B333" s="26" t="str">
        <f>'💳 Debt Input'!$A$5</f>
        <v>Medical Bill</v>
      </c>
      <c r="C333" s="27">
        <f t="shared" si="19"/>
        <v>0</v>
      </c>
      <c r="D333" s="27">
        <f>ROUND(C333*'💳 Debt Input'!$C$5/12,2)</f>
        <v>0</v>
      </c>
      <c r="E333" s="27">
        <f>IF(B333="", "", MIN(C333+D333, MAX(P333, $F$3 - SUMIFS(E$10:E332, O$10:O332, O333) - SUMIFS(P334:P$1995, O334:O$1995, O333))))</f>
        <v>0</v>
      </c>
      <c r="F333" s="27">
        <f t="shared" si="20"/>
        <v>0</v>
      </c>
      <c r="G333" s="28" t="str">
        <f t="shared" si="21"/>
        <v>Paid off</v>
      </c>
      <c r="H333" s="29"/>
      <c r="O333" s="68">
        <f t="shared" si="22"/>
        <v>54</v>
      </c>
      <c r="P333" s="68">
        <f>IF(B333="", 0, IFERROR(MIN(C333+D333, VLOOKUP(B333, '💳 Debt Input'!$A:$G, 4, FALSE)), 0))</f>
        <v>0</v>
      </c>
    </row>
    <row r="334" spans="1:16" ht="18" customHeight="1" x14ac:dyDescent="0.35">
      <c r="A334" s="52"/>
      <c r="B334" s="26" t="str">
        <f>'💳 Debt Input'!$A$4</f>
        <v>Store Card</v>
      </c>
      <c r="C334" s="27">
        <f t="shared" si="19"/>
        <v>0</v>
      </c>
      <c r="D334" s="27">
        <f>ROUND(C334*'💳 Debt Input'!$C$4/12,2)</f>
        <v>0</v>
      </c>
      <c r="E334" s="27">
        <f>IF(B334="", "", MIN(C334+D334, MAX(P334, $F$3 - SUMIFS(E$10:E333, O$10:O333, O334) - SUMIFS(P335:P$1995, O335:O$1995, O334))))</f>
        <v>0</v>
      </c>
      <c r="F334" s="27">
        <f t="shared" si="20"/>
        <v>0</v>
      </c>
      <c r="G334" s="28" t="str">
        <f t="shared" si="21"/>
        <v>Paid off</v>
      </c>
      <c r="H334" s="29"/>
      <c r="O334" s="68">
        <f t="shared" si="22"/>
        <v>54</v>
      </c>
      <c r="P334" s="68">
        <f>IF(B334="", 0, IFERROR(MIN(C334+D334, VLOOKUP(B334, '💳 Debt Input'!$A:$G, 4, FALSE)), 0))</f>
        <v>0</v>
      </c>
    </row>
    <row r="335" spans="1:16" ht="18" customHeight="1" x14ac:dyDescent="0.35">
      <c r="A335" s="50">
        <v>55</v>
      </c>
      <c r="B335" s="8" t="str">
        <f>'💳 Debt Input'!$A$9</f>
        <v>Rewards Visa</v>
      </c>
      <c r="C335" s="10">
        <f t="shared" si="19"/>
        <v>7204.06</v>
      </c>
      <c r="D335" s="10">
        <f>ROUND(C335*'💳 Debt Input'!$C$9/12,2)</f>
        <v>216.12</v>
      </c>
      <c r="E335" s="10">
        <f>IF(B335="", "", MIN(C335+D335, MAX(P335, $F$3 - SUMIFS(E$10:E334, O$10:O334, O335) - SUMIFS(P336:P$1995, O336:O$1995, O335))))</f>
        <v>960</v>
      </c>
      <c r="F335" s="10">
        <f t="shared" si="20"/>
        <v>6460.18</v>
      </c>
      <c r="G335" s="19" t="str">
        <f t="shared" si="21"/>
        <v>Active</v>
      </c>
      <c r="H335" s="20"/>
      <c r="O335" s="68">
        <f t="shared" si="22"/>
        <v>55</v>
      </c>
      <c r="P335" s="68">
        <f>IF(B335="", 0, IFERROR(MIN(C335+D335, VLOOKUP(B335, '💳 Debt Input'!$A:$G, 4, FALSE)), 0))</f>
        <v>480</v>
      </c>
    </row>
    <row r="336" spans="1:16" ht="18" customHeight="1" x14ac:dyDescent="0.35">
      <c r="A336" s="52"/>
      <c r="B336" s="26" t="str">
        <f>'💳 Debt Input'!$A$8</f>
        <v>Travel Card</v>
      </c>
      <c r="C336" s="27">
        <f t="shared" si="19"/>
        <v>0</v>
      </c>
      <c r="D336" s="27">
        <f>ROUND(C336*'💳 Debt Input'!$C$8/12,2)</f>
        <v>0</v>
      </c>
      <c r="E336" s="27">
        <f>IF(B336="", "", MIN(C336+D336, MAX(P336, $F$3 - SUMIFS(E$10:E335, O$10:O335, O336) - SUMIFS(P337:P$1995, O337:O$1995, O336))))</f>
        <v>0</v>
      </c>
      <c r="F336" s="27">
        <f t="shared" si="20"/>
        <v>0</v>
      </c>
      <c r="G336" s="28" t="str">
        <f t="shared" si="21"/>
        <v>Paid off</v>
      </c>
      <c r="H336" s="29"/>
      <c r="O336" s="68">
        <f t="shared" si="22"/>
        <v>55</v>
      </c>
      <c r="P336" s="68">
        <f>IF(B336="", 0, IFERROR(MIN(C336+D336, VLOOKUP(B336, '💳 Debt Input'!$A:$G, 4, FALSE)), 0))</f>
        <v>0</v>
      </c>
    </row>
    <row r="337" spans="1:16" ht="18" customHeight="1" x14ac:dyDescent="0.35">
      <c r="A337" s="52"/>
      <c r="B337" s="26" t="str">
        <f>'💳 Debt Input'!$A$7</f>
        <v>Auto Loan</v>
      </c>
      <c r="C337" s="27">
        <f t="shared" ref="C337:C388" si="23">F331</f>
        <v>0</v>
      </c>
      <c r="D337" s="27">
        <f>ROUND(C337*'💳 Debt Input'!$C$7/12,2)</f>
        <v>0</v>
      </c>
      <c r="E337" s="27">
        <f>IF(B337="", "", MIN(C337+D337, MAX(P337, $F$3 - SUMIFS(E$10:E336, O$10:O336, O337) - SUMIFS(P338:P$1995, O338:O$1995, O337))))</f>
        <v>0</v>
      </c>
      <c r="F337" s="27">
        <f t="shared" si="20"/>
        <v>0</v>
      </c>
      <c r="G337" s="28" t="str">
        <f t="shared" si="21"/>
        <v>Paid off</v>
      </c>
      <c r="H337" s="29"/>
      <c r="O337" s="68">
        <f t="shared" si="22"/>
        <v>55</v>
      </c>
      <c r="P337" s="68">
        <f>IF(B337="", 0, IFERROR(MIN(C337+D337, VLOOKUP(B337, '💳 Debt Input'!$A:$G, 4, FALSE)), 0))</f>
        <v>0</v>
      </c>
    </row>
    <row r="338" spans="1:16" ht="18" customHeight="1" x14ac:dyDescent="0.35">
      <c r="A338" s="52"/>
      <c r="B338" s="26" t="str">
        <f>'💳 Debt Input'!$A$6</f>
        <v>Personal Loan</v>
      </c>
      <c r="C338" s="27">
        <f t="shared" si="23"/>
        <v>0</v>
      </c>
      <c r="D338" s="27">
        <f>ROUND(C338*'💳 Debt Input'!$C$6/12,2)</f>
        <v>0</v>
      </c>
      <c r="E338" s="27">
        <f>IF(B338="", "", MIN(C338+D338, MAX(P338, $F$3 - SUMIFS(E$10:E337, O$10:O337, O338) - SUMIFS(P339:P$1995, O339:O$1995, O338))))</f>
        <v>0</v>
      </c>
      <c r="F338" s="27">
        <f t="shared" si="20"/>
        <v>0</v>
      </c>
      <c r="G338" s="28" t="str">
        <f t="shared" si="21"/>
        <v>Paid off</v>
      </c>
      <c r="H338" s="29"/>
      <c r="O338" s="68">
        <f t="shared" si="22"/>
        <v>55</v>
      </c>
      <c r="P338" s="68">
        <f>IF(B338="", 0, IFERROR(MIN(C338+D338, VLOOKUP(B338, '💳 Debt Input'!$A:$G, 4, FALSE)), 0))</f>
        <v>0</v>
      </c>
    </row>
    <row r="339" spans="1:16" ht="18" customHeight="1" x14ac:dyDescent="0.35">
      <c r="A339" s="52"/>
      <c r="B339" s="26" t="str">
        <f>'💳 Debt Input'!$A$5</f>
        <v>Medical Bill</v>
      </c>
      <c r="C339" s="27">
        <f t="shared" si="23"/>
        <v>0</v>
      </c>
      <c r="D339" s="27">
        <f>ROUND(C339*'💳 Debt Input'!$C$5/12,2)</f>
        <v>0</v>
      </c>
      <c r="E339" s="27">
        <f>IF(B339="", "", MIN(C339+D339, MAX(P339, $F$3 - SUMIFS(E$10:E338, O$10:O338, O339) - SUMIFS(P340:P$1995, O340:O$1995, O339))))</f>
        <v>0</v>
      </c>
      <c r="F339" s="27">
        <f t="shared" si="20"/>
        <v>0</v>
      </c>
      <c r="G339" s="28" t="str">
        <f t="shared" si="21"/>
        <v>Paid off</v>
      </c>
      <c r="H339" s="29"/>
      <c r="O339" s="68">
        <f t="shared" si="22"/>
        <v>55</v>
      </c>
      <c r="P339" s="68">
        <f>IF(B339="", 0, IFERROR(MIN(C339+D339, VLOOKUP(B339, '💳 Debt Input'!$A:$G, 4, FALSE)), 0))</f>
        <v>0</v>
      </c>
    </row>
    <row r="340" spans="1:16" ht="18" customHeight="1" x14ac:dyDescent="0.35">
      <c r="A340" s="52"/>
      <c r="B340" s="26" t="str">
        <f>'💳 Debt Input'!$A$4</f>
        <v>Store Card</v>
      </c>
      <c r="C340" s="27">
        <f t="shared" si="23"/>
        <v>0</v>
      </c>
      <c r="D340" s="27">
        <f>ROUND(C340*'💳 Debt Input'!$C$4/12,2)</f>
        <v>0</v>
      </c>
      <c r="E340" s="27">
        <f>IF(B340="", "", MIN(C340+D340, MAX(P340, $F$3 - SUMIFS(E$10:E339, O$10:O339, O340) - SUMIFS(P341:P$1995, O341:O$1995, O340))))</f>
        <v>0</v>
      </c>
      <c r="F340" s="27">
        <f t="shared" si="20"/>
        <v>0</v>
      </c>
      <c r="G340" s="28" t="str">
        <f t="shared" si="21"/>
        <v>Paid off</v>
      </c>
      <c r="H340" s="29"/>
      <c r="O340" s="68">
        <f t="shared" si="22"/>
        <v>55</v>
      </c>
      <c r="P340" s="68">
        <f>IF(B340="", 0, IFERROR(MIN(C340+D340, VLOOKUP(B340, '💳 Debt Input'!$A:$G, 4, FALSE)), 0))</f>
        <v>0</v>
      </c>
    </row>
    <row r="341" spans="1:16" ht="18" customHeight="1" x14ac:dyDescent="0.35">
      <c r="A341" s="48">
        <v>56</v>
      </c>
      <c r="B341" s="6" t="str">
        <f>'💳 Debt Input'!$A$9</f>
        <v>Rewards Visa</v>
      </c>
      <c r="C341" s="12">
        <f t="shared" si="23"/>
        <v>6460.18</v>
      </c>
      <c r="D341" s="12">
        <f>ROUND(C341*'💳 Debt Input'!$C$9/12,2)</f>
        <v>193.81</v>
      </c>
      <c r="E341" s="12">
        <f>IF(B341="", "", MIN(C341+D341, MAX(P341, $F$3 - SUMIFS(E$10:E340, O$10:O340, O341) - SUMIFS(P342:P$1995, O342:O$1995, O341))))</f>
        <v>960</v>
      </c>
      <c r="F341" s="12">
        <f t="shared" si="20"/>
        <v>5693.99</v>
      </c>
      <c r="G341" s="22" t="str">
        <f t="shared" si="21"/>
        <v>Active</v>
      </c>
      <c r="H341" s="23"/>
      <c r="O341" s="68">
        <f t="shared" si="22"/>
        <v>56</v>
      </c>
      <c r="P341" s="68">
        <f>IF(B341="", 0, IFERROR(MIN(C341+D341, VLOOKUP(B341, '💳 Debt Input'!$A:$G, 4, FALSE)), 0))</f>
        <v>480</v>
      </c>
    </row>
    <row r="342" spans="1:16" ht="18" customHeight="1" x14ac:dyDescent="0.35">
      <c r="A342" s="52"/>
      <c r="B342" s="26" t="str">
        <f>'💳 Debt Input'!$A$8</f>
        <v>Travel Card</v>
      </c>
      <c r="C342" s="27">
        <f t="shared" si="23"/>
        <v>0</v>
      </c>
      <c r="D342" s="27">
        <f>ROUND(C342*'💳 Debt Input'!$C$8/12,2)</f>
        <v>0</v>
      </c>
      <c r="E342" s="27">
        <f>IF(B342="", "", MIN(C342+D342, MAX(P342, $F$3 - SUMIFS(E$10:E341, O$10:O341, O342) - SUMIFS(P343:P$1995, O343:O$1995, O342))))</f>
        <v>0</v>
      </c>
      <c r="F342" s="27">
        <f t="shared" si="20"/>
        <v>0</v>
      </c>
      <c r="G342" s="28" t="str">
        <f t="shared" si="21"/>
        <v>Paid off</v>
      </c>
      <c r="H342" s="29"/>
      <c r="O342" s="68">
        <f t="shared" si="22"/>
        <v>56</v>
      </c>
      <c r="P342" s="68">
        <f>IF(B342="", 0, IFERROR(MIN(C342+D342, VLOOKUP(B342, '💳 Debt Input'!$A:$G, 4, FALSE)), 0))</f>
        <v>0</v>
      </c>
    </row>
    <row r="343" spans="1:16" ht="18" customHeight="1" x14ac:dyDescent="0.35">
      <c r="A343" s="52"/>
      <c r="B343" s="26" t="str">
        <f>'💳 Debt Input'!$A$7</f>
        <v>Auto Loan</v>
      </c>
      <c r="C343" s="27">
        <f t="shared" si="23"/>
        <v>0</v>
      </c>
      <c r="D343" s="27">
        <f>ROUND(C343*'💳 Debt Input'!$C$7/12,2)</f>
        <v>0</v>
      </c>
      <c r="E343" s="27">
        <f>IF(B343="", "", MIN(C343+D343, MAX(P343, $F$3 - SUMIFS(E$10:E342, O$10:O342, O343) - SUMIFS(P344:P$1995, O344:O$1995, O343))))</f>
        <v>0</v>
      </c>
      <c r="F343" s="27">
        <f t="shared" si="20"/>
        <v>0</v>
      </c>
      <c r="G343" s="28" t="str">
        <f t="shared" si="21"/>
        <v>Paid off</v>
      </c>
      <c r="H343" s="29"/>
      <c r="O343" s="68">
        <f t="shared" si="22"/>
        <v>56</v>
      </c>
      <c r="P343" s="68">
        <f>IF(B343="", 0, IFERROR(MIN(C343+D343, VLOOKUP(B343, '💳 Debt Input'!$A:$G, 4, FALSE)), 0))</f>
        <v>0</v>
      </c>
    </row>
    <row r="344" spans="1:16" ht="18" customHeight="1" x14ac:dyDescent="0.35">
      <c r="A344" s="52"/>
      <c r="B344" s="26" t="str">
        <f>'💳 Debt Input'!$A$6</f>
        <v>Personal Loan</v>
      </c>
      <c r="C344" s="27">
        <f t="shared" si="23"/>
        <v>0</v>
      </c>
      <c r="D344" s="27">
        <f>ROUND(C344*'💳 Debt Input'!$C$6/12,2)</f>
        <v>0</v>
      </c>
      <c r="E344" s="27">
        <f>IF(B344="", "", MIN(C344+D344, MAX(P344, $F$3 - SUMIFS(E$10:E343, O$10:O343, O344) - SUMIFS(P345:P$1995, O345:O$1995, O344))))</f>
        <v>0</v>
      </c>
      <c r="F344" s="27">
        <f t="shared" si="20"/>
        <v>0</v>
      </c>
      <c r="G344" s="28" t="str">
        <f t="shared" si="21"/>
        <v>Paid off</v>
      </c>
      <c r="H344" s="29"/>
      <c r="O344" s="68">
        <f t="shared" si="22"/>
        <v>56</v>
      </c>
      <c r="P344" s="68">
        <f>IF(B344="", 0, IFERROR(MIN(C344+D344, VLOOKUP(B344, '💳 Debt Input'!$A:$G, 4, FALSE)), 0))</f>
        <v>0</v>
      </c>
    </row>
    <row r="345" spans="1:16" ht="18" customHeight="1" x14ac:dyDescent="0.35">
      <c r="A345" s="52"/>
      <c r="B345" s="26" t="str">
        <f>'💳 Debt Input'!$A$5</f>
        <v>Medical Bill</v>
      </c>
      <c r="C345" s="27">
        <f t="shared" si="23"/>
        <v>0</v>
      </c>
      <c r="D345" s="27">
        <f>ROUND(C345*'💳 Debt Input'!$C$5/12,2)</f>
        <v>0</v>
      </c>
      <c r="E345" s="27">
        <f>IF(B345="", "", MIN(C345+D345, MAX(P345, $F$3 - SUMIFS(E$10:E344, O$10:O344, O345) - SUMIFS(P346:P$1995, O346:O$1995, O345))))</f>
        <v>0</v>
      </c>
      <c r="F345" s="27">
        <f t="shared" si="20"/>
        <v>0</v>
      </c>
      <c r="G345" s="28" t="str">
        <f t="shared" si="21"/>
        <v>Paid off</v>
      </c>
      <c r="H345" s="29"/>
      <c r="O345" s="68">
        <f t="shared" si="22"/>
        <v>56</v>
      </c>
      <c r="P345" s="68">
        <f>IF(B345="", 0, IFERROR(MIN(C345+D345, VLOOKUP(B345, '💳 Debt Input'!$A:$G, 4, FALSE)), 0))</f>
        <v>0</v>
      </c>
    </row>
    <row r="346" spans="1:16" ht="18" customHeight="1" x14ac:dyDescent="0.35">
      <c r="A346" s="52"/>
      <c r="B346" s="26" t="str">
        <f>'💳 Debt Input'!$A$4</f>
        <v>Store Card</v>
      </c>
      <c r="C346" s="27">
        <f t="shared" si="23"/>
        <v>0</v>
      </c>
      <c r="D346" s="27">
        <f>ROUND(C346*'💳 Debt Input'!$C$4/12,2)</f>
        <v>0</v>
      </c>
      <c r="E346" s="27">
        <f>IF(B346="", "", MIN(C346+D346, MAX(P346, $F$3 - SUMIFS(E$10:E345, O$10:O345, O346) - SUMIFS(P347:P$1995, O347:O$1995, O346))))</f>
        <v>0</v>
      </c>
      <c r="F346" s="27">
        <f t="shared" si="20"/>
        <v>0</v>
      </c>
      <c r="G346" s="28" t="str">
        <f t="shared" si="21"/>
        <v>Paid off</v>
      </c>
      <c r="H346" s="29"/>
      <c r="O346" s="68">
        <f t="shared" si="22"/>
        <v>56</v>
      </c>
      <c r="P346" s="68">
        <f>IF(B346="", 0, IFERROR(MIN(C346+D346, VLOOKUP(B346, '💳 Debt Input'!$A:$G, 4, FALSE)), 0))</f>
        <v>0</v>
      </c>
    </row>
    <row r="347" spans="1:16" ht="18" customHeight="1" x14ac:dyDescent="0.35">
      <c r="A347" s="50">
        <v>57</v>
      </c>
      <c r="B347" s="8" t="str">
        <f>'💳 Debt Input'!$A$9</f>
        <v>Rewards Visa</v>
      </c>
      <c r="C347" s="10">
        <f t="shared" si="23"/>
        <v>5693.99</v>
      </c>
      <c r="D347" s="10">
        <f>ROUND(C347*'💳 Debt Input'!$C$9/12,2)</f>
        <v>170.82</v>
      </c>
      <c r="E347" s="10">
        <f>IF(B347="", "", MIN(C347+D347, MAX(P347, $F$3 - SUMIFS(E$10:E346, O$10:O346, O347) - SUMIFS(P348:P$1995, O348:O$1995, O347))))</f>
        <v>960</v>
      </c>
      <c r="F347" s="10">
        <f t="shared" si="20"/>
        <v>4904.8100000000004</v>
      </c>
      <c r="G347" s="19" t="str">
        <f t="shared" si="21"/>
        <v>Active</v>
      </c>
      <c r="H347" s="20"/>
      <c r="O347" s="68">
        <f t="shared" si="22"/>
        <v>57</v>
      </c>
      <c r="P347" s="68">
        <f>IF(B347="", 0, IFERROR(MIN(C347+D347, VLOOKUP(B347, '💳 Debt Input'!$A:$G, 4, FALSE)), 0))</f>
        <v>480</v>
      </c>
    </row>
    <row r="348" spans="1:16" ht="18" customHeight="1" x14ac:dyDescent="0.35">
      <c r="A348" s="52"/>
      <c r="B348" s="26" t="str">
        <f>'💳 Debt Input'!$A$8</f>
        <v>Travel Card</v>
      </c>
      <c r="C348" s="27">
        <f t="shared" si="23"/>
        <v>0</v>
      </c>
      <c r="D348" s="27">
        <f>ROUND(C348*'💳 Debt Input'!$C$8/12,2)</f>
        <v>0</v>
      </c>
      <c r="E348" s="27">
        <f>IF(B348="", "", MIN(C348+D348, MAX(P348, $F$3 - SUMIFS(E$10:E347, O$10:O347, O348) - SUMIFS(P349:P$1995, O349:O$1995, O348))))</f>
        <v>0</v>
      </c>
      <c r="F348" s="27">
        <f t="shared" si="20"/>
        <v>0</v>
      </c>
      <c r="G348" s="28" t="str">
        <f t="shared" si="21"/>
        <v>Paid off</v>
      </c>
      <c r="H348" s="29"/>
      <c r="O348" s="68">
        <f t="shared" si="22"/>
        <v>57</v>
      </c>
      <c r="P348" s="68">
        <f>IF(B348="", 0, IFERROR(MIN(C348+D348, VLOOKUP(B348, '💳 Debt Input'!$A:$G, 4, FALSE)), 0))</f>
        <v>0</v>
      </c>
    </row>
    <row r="349" spans="1:16" ht="18" customHeight="1" x14ac:dyDescent="0.35">
      <c r="A349" s="52"/>
      <c r="B349" s="26" t="str">
        <f>'💳 Debt Input'!$A$7</f>
        <v>Auto Loan</v>
      </c>
      <c r="C349" s="27">
        <f t="shared" si="23"/>
        <v>0</v>
      </c>
      <c r="D349" s="27">
        <f>ROUND(C349*'💳 Debt Input'!$C$7/12,2)</f>
        <v>0</v>
      </c>
      <c r="E349" s="27">
        <f>IF(B349="", "", MIN(C349+D349, MAX(P349, $F$3 - SUMIFS(E$10:E348, O$10:O348, O349) - SUMIFS(P350:P$1995, O350:O$1995, O349))))</f>
        <v>0</v>
      </c>
      <c r="F349" s="27">
        <f t="shared" si="20"/>
        <v>0</v>
      </c>
      <c r="G349" s="28" t="str">
        <f t="shared" si="21"/>
        <v>Paid off</v>
      </c>
      <c r="H349" s="29"/>
      <c r="O349" s="68">
        <f t="shared" si="22"/>
        <v>57</v>
      </c>
      <c r="P349" s="68">
        <f>IF(B349="", 0, IFERROR(MIN(C349+D349, VLOOKUP(B349, '💳 Debt Input'!$A:$G, 4, FALSE)), 0))</f>
        <v>0</v>
      </c>
    </row>
    <row r="350" spans="1:16" ht="18" customHeight="1" x14ac:dyDescent="0.35">
      <c r="A350" s="52"/>
      <c r="B350" s="26" t="str">
        <f>'💳 Debt Input'!$A$6</f>
        <v>Personal Loan</v>
      </c>
      <c r="C350" s="27">
        <f t="shared" si="23"/>
        <v>0</v>
      </c>
      <c r="D350" s="27">
        <f>ROUND(C350*'💳 Debt Input'!$C$6/12,2)</f>
        <v>0</v>
      </c>
      <c r="E350" s="27">
        <f>IF(B350="", "", MIN(C350+D350, MAX(P350, $F$3 - SUMIFS(E$10:E349, O$10:O349, O350) - SUMIFS(P351:P$1995, O351:O$1995, O350))))</f>
        <v>0</v>
      </c>
      <c r="F350" s="27">
        <f t="shared" si="20"/>
        <v>0</v>
      </c>
      <c r="G350" s="28" t="str">
        <f t="shared" si="21"/>
        <v>Paid off</v>
      </c>
      <c r="H350" s="29"/>
      <c r="O350" s="68">
        <f t="shared" si="22"/>
        <v>57</v>
      </c>
      <c r="P350" s="68">
        <f>IF(B350="", 0, IFERROR(MIN(C350+D350, VLOOKUP(B350, '💳 Debt Input'!$A:$G, 4, FALSE)), 0))</f>
        <v>0</v>
      </c>
    </row>
    <row r="351" spans="1:16" ht="18" customHeight="1" x14ac:dyDescent="0.35">
      <c r="A351" s="52"/>
      <c r="B351" s="26" t="str">
        <f>'💳 Debt Input'!$A$5</f>
        <v>Medical Bill</v>
      </c>
      <c r="C351" s="27">
        <f t="shared" si="23"/>
        <v>0</v>
      </c>
      <c r="D351" s="27">
        <f>ROUND(C351*'💳 Debt Input'!$C$5/12,2)</f>
        <v>0</v>
      </c>
      <c r="E351" s="27">
        <f>IF(B351="", "", MIN(C351+D351, MAX(P351, $F$3 - SUMIFS(E$10:E350, O$10:O350, O351) - SUMIFS(P352:P$1995, O352:O$1995, O351))))</f>
        <v>0</v>
      </c>
      <c r="F351" s="27">
        <f t="shared" si="20"/>
        <v>0</v>
      </c>
      <c r="G351" s="28" t="str">
        <f t="shared" si="21"/>
        <v>Paid off</v>
      </c>
      <c r="H351" s="29"/>
      <c r="O351" s="68">
        <f t="shared" si="22"/>
        <v>57</v>
      </c>
      <c r="P351" s="68">
        <f>IF(B351="", 0, IFERROR(MIN(C351+D351, VLOOKUP(B351, '💳 Debt Input'!$A:$G, 4, FALSE)), 0))</f>
        <v>0</v>
      </c>
    </row>
    <row r="352" spans="1:16" ht="18" customHeight="1" x14ac:dyDescent="0.35">
      <c r="A352" s="52"/>
      <c r="B352" s="26" t="str">
        <f>'💳 Debt Input'!$A$4</f>
        <v>Store Card</v>
      </c>
      <c r="C352" s="27">
        <f t="shared" si="23"/>
        <v>0</v>
      </c>
      <c r="D352" s="27">
        <f>ROUND(C352*'💳 Debt Input'!$C$4/12,2)</f>
        <v>0</v>
      </c>
      <c r="E352" s="27">
        <f>IF(B352="", "", MIN(C352+D352, MAX(P352, $F$3 - SUMIFS(E$10:E351, O$10:O351, O352) - SUMIFS(P353:P$1995, O353:O$1995, O352))))</f>
        <v>0</v>
      </c>
      <c r="F352" s="27">
        <f t="shared" si="20"/>
        <v>0</v>
      </c>
      <c r="G352" s="28" t="str">
        <f t="shared" si="21"/>
        <v>Paid off</v>
      </c>
      <c r="H352" s="29"/>
      <c r="O352" s="68">
        <f t="shared" si="22"/>
        <v>57</v>
      </c>
      <c r="P352" s="68">
        <f>IF(B352="", 0, IFERROR(MIN(C352+D352, VLOOKUP(B352, '💳 Debt Input'!$A:$G, 4, FALSE)), 0))</f>
        <v>0</v>
      </c>
    </row>
    <row r="353" spans="1:16" ht="18" customHeight="1" x14ac:dyDescent="0.35">
      <c r="A353" s="48">
        <v>58</v>
      </c>
      <c r="B353" s="6" t="str">
        <f>'💳 Debt Input'!$A$9</f>
        <v>Rewards Visa</v>
      </c>
      <c r="C353" s="12">
        <f t="shared" si="23"/>
        <v>4904.8100000000004</v>
      </c>
      <c r="D353" s="12">
        <f>ROUND(C353*'💳 Debt Input'!$C$9/12,2)</f>
        <v>147.13999999999999</v>
      </c>
      <c r="E353" s="12">
        <f>IF(B353="", "", MIN(C353+D353, MAX(P353, $F$3 - SUMIFS(E$10:E352, O$10:O352, O353) - SUMIFS(P354:P$1995, O354:O$1995, O353))))</f>
        <v>960</v>
      </c>
      <c r="F353" s="12">
        <f t="shared" si="20"/>
        <v>4091.95</v>
      </c>
      <c r="G353" s="22" t="str">
        <f t="shared" si="21"/>
        <v>Active</v>
      </c>
      <c r="H353" s="23"/>
      <c r="O353" s="68">
        <f t="shared" si="22"/>
        <v>58</v>
      </c>
      <c r="P353" s="68">
        <f>IF(B353="", 0, IFERROR(MIN(C353+D353, VLOOKUP(B353, '💳 Debt Input'!$A:$G, 4, FALSE)), 0))</f>
        <v>480</v>
      </c>
    </row>
    <row r="354" spans="1:16" ht="18" customHeight="1" x14ac:dyDescent="0.35">
      <c r="A354" s="52"/>
      <c r="B354" s="26" t="str">
        <f>'💳 Debt Input'!$A$8</f>
        <v>Travel Card</v>
      </c>
      <c r="C354" s="27">
        <f t="shared" si="23"/>
        <v>0</v>
      </c>
      <c r="D354" s="27">
        <f>ROUND(C354*'💳 Debt Input'!$C$8/12,2)</f>
        <v>0</v>
      </c>
      <c r="E354" s="27">
        <f>IF(B354="", "", MIN(C354+D354, MAX(P354, $F$3 - SUMIFS(E$10:E353, O$10:O353, O354) - SUMIFS(P355:P$1995, O355:O$1995, O354))))</f>
        <v>0</v>
      </c>
      <c r="F354" s="27">
        <f t="shared" si="20"/>
        <v>0</v>
      </c>
      <c r="G354" s="28" t="str">
        <f t="shared" si="21"/>
        <v>Paid off</v>
      </c>
      <c r="H354" s="29"/>
      <c r="O354" s="68">
        <f t="shared" si="22"/>
        <v>58</v>
      </c>
      <c r="P354" s="68">
        <f>IF(B354="", 0, IFERROR(MIN(C354+D354, VLOOKUP(B354, '💳 Debt Input'!$A:$G, 4, FALSE)), 0))</f>
        <v>0</v>
      </c>
    </row>
    <row r="355" spans="1:16" ht="18" customHeight="1" x14ac:dyDescent="0.35">
      <c r="A355" s="52"/>
      <c r="B355" s="26" t="str">
        <f>'💳 Debt Input'!$A$7</f>
        <v>Auto Loan</v>
      </c>
      <c r="C355" s="27">
        <f t="shared" si="23"/>
        <v>0</v>
      </c>
      <c r="D355" s="27">
        <f>ROUND(C355*'💳 Debt Input'!$C$7/12,2)</f>
        <v>0</v>
      </c>
      <c r="E355" s="27">
        <f>IF(B355="", "", MIN(C355+D355, MAX(P355, $F$3 - SUMIFS(E$10:E354, O$10:O354, O355) - SUMIFS(P356:P$1995, O356:O$1995, O355))))</f>
        <v>0</v>
      </c>
      <c r="F355" s="27">
        <f t="shared" si="20"/>
        <v>0</v>
      </c>
      <c r="G355" s="28" t="str">
        <f t="shared" si="21"/>
        <v>Paid off</v>
      </c>
      <c r="H355" s="29"/>
      <c r="O355" s="68">
        <f t="shared" si="22"/>
        <v>58</v>
      </c>
      <c r="P355" s="68">
        <f>IF(B355="", 0, IFERROR(MIN(C355+D355, VLOOKUP(B355, '💳 Debt Input'!$A:$G, 4, FALSE)), 0))</f>
        <v>0</v>
      </c>
    </row>
    <row r="356" spans="1:16" ht="18" customHeight="1" x14ac:dyDescent="0.35">
      <c r="A356" s="52"/>
      <c r="B356" s="26" t="str">
        <f>'💳 Debt Input'!$A$6</f>
        <v>Personal Loan</v>
      </c>
      <c r="C356" s="27">
        <f t="shared" si="23"/>
        <v>0</v>
      </c>
      <c r="D356" s="27">
        <f>ROUND(C356*'💳 Debt Input'!$C$6/12,2)</f>
        <v>0</v>
      </c>
      <c r="E356" s="27">
        <f>IF(B356="", "", MIN(C356+D356, MAX(P356, $F$3 - SUMIFS(E$10:E355, O$10:O355, O356) - SUMIFS(P357:P$1995, O357:O$1995, O356))))</f>
        <v>0</v>
      </c>
      <c r="F356" s="27">
        <f t="shared" si="20"/>
        <v>0</v>
      </c>
      <c r="G356" s="28" t="str">
        <f t="shared" si="21"/>
        <v>Paid off</v>
      </c>
      <c r="H356" s="29"/>
      <c r="O356" s="68">
        <f t="shared" si="22"/>
        <v>58</v>
      </c>
      <c r="P356" s="68">
        <f>IF(B356="", 0, IFERROR(MIN(C356+D356, VLOOKUP(B356, '💳 Debt Input'!$A:$G, 4, FALSE)), 0))</f>
        <v>0</v>
      </c>
    </row>
    <row r="357" spans="1:16" ht="18" customHeight="1" x14ac:dyDescent="0.35">
      <c r="A357" s="52"/>
      <c r="B357" s="26" t="str">
        <f>'💳 Debt Input'!$A$5</f>
        <v>Medical Bill</v>
      </c>
      <c r="C357" s="27">
        <f t="shared" si="23"/>
        <v>0</v>
      </c>
      <c r="D357" s="27">
        <f>ROUND(C357*'💳 Debt Input'!$C$5/12,2)</f>
        <v>0</v>
      </c>
      <c r="E357" s="27">
        <f>IF(B357="", "", MIN(C357+D357, MAX(P357, $F$3 - SUMIFS(E$10:E356, O$10:O356, O357) - SUMIFS(P358:P$1995, O358:O$1995, O357))))</f>
        <v>0</v>
      </c>
      <c r="F357" s="27">
        <f t="shared" si="20"/>
        <v>0</v>
      </c>
      <c r="G357" s="28" t="str">
        <f t="shared" si="21"/>
        <v>Paid off</v>
      </c>
      <c r="H357" s="29"/>
      <c r="O357" s="68">
        <f t="shared" si="22"/>
        <v>58</v>
      </c>
      <c r="P357" s="68">
        <f>IF(B357="", 0, IFERROR(MIN(C357+D357, VLOOKUP(B357, '💳 Debt Input'!$A:$G, 4, FALSE)), 0))</f>
        <v>0</v>
      </c>
    </row>
    <row r="358" spans="1:16" ht="18" customHeight="1" x14ac:dyDescent="0.35">
      <c r="A358" s="52"/>
      <c r="B358" s="26" t="str">
        <f>'💳 Debt Input'!$A$4</f>
        <v>Store Card</v>
      </c>
      <c r="C358" s="27">
        <f t="shared" si="23"/>
        <v>0</v>
      </c>
      <c r="D358" s="27">
        <f>ROUND(C358*'💳 Debt Input'!$C$4/12,2)</f>
        <v>0</v>
      </c>
      <c r="E358" s="27">
        <f>IF(B358="", "", MIN(C358+D358, MAX(P358, $F$3 - SUMIFS(E$10:E357, O$10:O357, O358) - SUMIFS(P359:P$1995, O359:O$1995, O358))))</f>
        <v>0</v>
      </c>
      <c r="F358" s="27">
        <f t="shared" si="20"/>
        <v>0</v>
      </c>
      <c r="G358" s="28" t="str">
        <f t="shared" si="21"/>
        <v>Paid off</v>
      </c>
      <c r="H358" s="29"/>
      <c r="O358" s="68">
        <f t="shared" si="22"/>
        <v>58</v>
      </c>
      <c r="P358" s="68">
        <f>IF(B358="", 0, IFERROR(MIN(C358+D358, VLOOKUP(B358, '💳 Debt Input'!$A:$G, 4, FALSE)), 0))</f>
        <v>0</v>
      </c>
    </row>
    <row r="359" spans="1:16" ht="18" customHeight="1" x14ac:dyDescent="0.35">
      <c r="A359" s="50">
        <v>59</v>
      </c>
      <c r="B359" s="8" t="str">
        <f>'💳 Debt Input'!$A$9</f>
        <v>Rewards Visa</v>
      </c>
      <c r="C359" s="10">
        <f t="shared" si="23"/>
        <v>4091.95</v>
      </c>
      <c r="D359" s="10">
        <f>ROUND(C359*'💳 Debt Input'!$C$9/12,2)</f>
        <v>122.76</v>
      </c>
      <c r="E359" s="10">
        <f>IF(B359="", "", MIN(C359+D359, MAX(P359, $F$3 - SUMIFS(E$10:E358, O$10:O358, O359) - SUMIFS(P360:P$1995, O360:O$1995, O359))))</f>
        <v>960</v>
      </c>
      <c r="F359" s="10">
        <f t="shared" si="20"/>
        <v>3254.71</v>
      </c>
      <c r="G359" s="19" t="str">
        <f t="shared" si="21"/>
        <v>Active</v>
      </c>
      <c r="H359" s="20"/>
      <c r="O359" s="68">
        <f t="shared" si="22"/>
        <v>59</v>
      </c>
      <c r="P359" s="68">
        <f>IF(B359="", 0, IFERROR(MIN(C359+D359, VLOOKUP(B359, '💳 Debt Input'!$A:$G, 4, FALSE)), 0))</f>
        <v>480</v>
      </c>
    </row>
    <row r="360" spans="1:16" ht="18" customHeight="1" x14ac:dyDescent="0.35">
      <c r="A360" s="52"/>
      <c r="B360" s="26" t="str">
        <f>'💳 Debt Input'!$A$8</f>
        <v>Travel Card</v>
      </c>
      <c r="C360" s="27">
        <f t="shared" si="23"/>
        <v>0</v>
      </c>
      <c r="D360" s="27">
        <f>ROUND(C360*'💳 Debt Input'!$C$8/12,2)</f>
        <v>0</v>
      </c>
      <c r="E360" s="27">
        <f>IF(B360="", "", MIN(C360+D360, MAX(P360, $F$3 - SUMIFS(E$10:E359, O$10:O359, O360) - SUMIFS(P361:P$1995, O361:O$1995, O360))))</f>
        <v>0</v>
      </c>
      <c r="F360" s="27">
        <f t="shared" si="20"/>
        <v>0</v>
      </c>
      <c r="G360" s="28" t="str">
        <f t="shared" si="21"/>
        <v>Paid off</v>
      </c>
      <c r="H360" s="29"/>
      <c r="O360" s="68">
        <f t="shared" si="22"/>
        <v>59</v>
      </c>
      <c r="P360" s="68">
        <f>IF(B360="", 0, IFERROR(MIN(C360+D360, VLOOKUP(B360, '💳 Debt Input'!$A:$G, 4, FALSE)), 0))</f>
        <v>0</v>
      </c>
    </row>
    <row r="361" spans="1:16" ht="18" customHeight="1" x14ac:dyDescent="0.35">
      <c r="A361" s="52"/>
      <c r="B361" s="26" t="str">
        <f>'💳 Debt Input'!$A$7</f>
        <v>Auto Loan</v>
      </c>
      <c r="C361" s="27">
        <f t="shared" si="23"/>
        <v>0</v>
      </c>
      <c r="D361" s="27">
        <f>ROUND(C361*'💳 Debt Input'!$C$7/12,2)</f>
        <v>0</v>
      </c>
      <c r="E361" s="27">
        <f>IF(B361="", "", MIN(C361+D361, MAX(P361, $F$3 - SUMIFS(E$10:E360, O$10:O360, O361) - SUMIFS(P362:P$1995, O362:O$1995, O361))))</f>
        <v>0</v>
      </c>
      <c r="F361" s="27">
        <f t="shared" si="20"/>
        <v>0</v>
      </c>
      <c r="G361" s="28" t="str">
        <f t="shared" si="21"/>
        <v>Paid off</v>
      </c>
      <c r="H361" s="29"/>
      <c r="O361" s="68">
        <f t="shared" si="22"/>
        <v>59</v>
      </c>
      <c r="P361" s="68">
        <f>IF(B361="", 0, IFERROR(MIN(C361+D361, VLOOKUP(B361, '💳 Debt Input'!$A:$G, 4, FALSE)), 0))</f>
        <v>0</v>
      </c>
    </row>
    <row r="362" spans="1:16" ht="18" customHeight="1" x14ac:dyDescent="0.35">
      <c r="A362" s="52"/>
      <c r="B362" s="26" t="str">
        <f>'💳 Debt Input'!$A$6</f>
        <v>Personal Loan</v>
      </c>
      <c r="C362" s="27">
        <f t="shared" si="23"/>
        <v>0</v>
      </c>
      <c r="D362" s="27">
        <f>ROUND(C362*'💳 Debt Input'!$C$6/12,2)</f>
        <v>0</v>
      </c>
      <c r="E362" s="27">
        <f>IF(B362="", "", MIN(C362+D362, MAX(P362, $F$3 - SUMIFS(E$10:E361, O$10:O361, O362) - SUMIFS(P363:P$1995, O363:O$1995, O362))))</f>
        <v>0</v>
      </c>
      <c r="F362" s="27">
        <f t="shared" si="20"/>
        <v>0</v>
      </c>
      <c r="G362" s="28" t="str">
        <f t="shared" si="21"/>
        <v>Paid off</v>
      </c>
      <c r="H362" s="29"/>
      <c r="O362" s="68">
        <f t="shared" si="22"/>
        <v>59</v>
      </c>
      <c r="P362" s="68">
        <f>IF(B362="", 0, IFERROR(MIN(C362+D362, VLOOKUP(B362, '💳 Debt Input'!$A:$G, 4, FALSE)), 0))</f>
        <v>0</v>
      </c>
    </row>
    <row r="363" spans="1:16" ht="18" customHeight="1" x14ac:dyDescent="0.35">
      <c r="A363" s="52"/>
      <c r="B363" s="26" t="str">
        <f>'💳 Debt Input'!$A$5</f>
        <v>Medical Bill</v>
      </c>
      <c r="C363" s="27">
        <f t="shared" si="23"/>
        <v>0</v>
      </c>
      <c r="D363" s="27">
        <f>ROUND(C363*'💳 Debt Input'!$C$5/12,2)</f>
        <v>0</v>
      </c>
      <c r="E363" s="27">
        <f>IF(B363="", "", MIN(C363+D363, MAX(P363, $F$3 - SUMIFS(E$10:E362, O$10:O362, O363) - SUMIFS(P364:P$1995, O364:O$1995, O363))))</f>
        <v>0</v>
      </c>
      <c r="F363" s="27">
        <f t="shared" si="20"/>
        <v>0</v>
      </c>
      <c r="G363" s="28" t="str">
        <f t="shared" si="21"/>
        <v>Paid off</v>
      </c>
      <c r="H363" s="29"/>
      <c r="O363" s="68">
        <f t="shared" si="22"/>
        <v>59</v>
      </c>
      <c r="P363" s="68">
        <f>IF(B363="", 0, IFERROR(MIN(C363+D363, VLOOKUP(B363, '💳 Debt Input'!$A:$G, 4, FALSE)), 0))</f>
        <v>0</v>
      </c>
    </row>
    <row r="364" spans="1:16" ht="18" customHeight="1" x14ac:dyDescent="0.35">
      <c r="A364" s="52"/>
      <c r="B364" s="26" t="str">
        <f>'💳 Debt Input'!$A$4</f>
        <v>Store Card</v>
      </c>
      <c r="C364" s="27">
        <f t="shared" si="23"/>
        <v>0</v>
      </c>
      <c r="D364" s="27">
        <f>ROUND(C364*'💳 Debt Input'!$C$4/12,2)</f>
        <v>0</v>
      </c>
      <c r="E364" s="27">
        <f>IF(B364="", "", MIN(C364+D364, MAX(P364, $F$3 - SUMIFS(E$10:E363, O$10:O363, O364) - SUMIFS(P365:P$1995, O365:O$1995, O364))))</f>
        <v>0</v>
      </c>
      <c r="F364" s="27">
        <f t="shared" si="20"/>
        <v>0</v>
      </c>
      <c r="G364" s="28" t="str">
        <f t="shared" si="21"/>
        <v>Paid off</v>
      </c>
      <c r="H364" s="29"/>
      <c r="O364" s="68">
        <f t="shared" si="22"/>
        <v>59</v>
      </c>
      <c r="P364" s="68">
        <f>IF(B364="", 0, IFERROR(MIN(C364+D364, VLOOKUP(B364, '💳 Debt Input'!$A:$G, 4, FALSE)), 0))</f>
        <v>0</v>
      </c>
    </row>
    <row r="365" spans="1:16" ht="18" customHeight="1" x14ac:dyDescent="0.35">
      <c r="A365" s="48">
        <v>60</v>
      </c>
      <c r="B365" s="6" t="str">
        <f>'💳 Debt Input'!$A$9</f>
        <v>Rewards Visa</v>
      </c>
      <c r="C365" s="12">
        <f t="shared" si="23"/>
        <v>3254.71</v>
      </c>
      <c r="D365" s="12">
        <f>ROUND(C365*'💳 Debt Input'!$C$9/12,2)</f>
        <v>97.64</v>
      </c>
      <c r="E365" s="12">
        <f>IF(B365="", "", MIN(C365+D365, MAX(P365, $F$3 - SUMIFS(E$10:E364, O$10:O364, O365) - SUMIFS(P366:P$1995, O366:O$1995, O365))))</f>
        <v>960</v>
      </c>
      <c r="F365" s="12">
        <f t="shared" si="20"/>
        <v>2392.35</v>
      </c>
      <c r="G365" s="22" t="str">
        <f t="shared" si="21"/>
        <v>Active</v>
      </c>
      <c r="H365" s="23"/>
      <c r="O365" s="68">
        <f t="shared" si="22"/>
        <v>60</v>
      </c>
      <c r="P365" s="68">
        <f>IF(B365="", 0, IFERROR(MIN(C365+D365, VLOOKUP(B365, '💳 Debt Input'!$A:$G, 4, FALSE)), 0))</f>
        <v>480</v>
      </c>
    </row>
    <row r="366" spans="1:16" ht="18" customHeight="1" x14ac:dyDescent="0.35">
      <c r="A366" s="52"/>
      <c r="B366" s="26" t="str">
        <f>'💳 Debt Input'!$A$8</f>
        <v>Travel Card</v>
      </c>
      <c r="C366" s="27">
        <f t="shared" si="23"/>
        <v>0</v>
      </c>
      <c r="D366" s="27">
        <f>ROUND(C366*'💳 Debt Input'!$C$8/12,2)</f>
        <v>0</v>
      </c>
      <c r="E366" s="27">
        <f>IF(B366="", "", MIN(C366+D366, MAX(P366, $F$3 - SUMIFS(E$10:E365, O$10:O365, O366) - SUMIFS(P367:P$1995, O367:O$1995, O366))))</f>
        <v>0</v>
      </c>
      <c r="F366" s="27">
        <f t="shared" si="20"/>
        <v>0</v>
      </c>
      <c r="G366" s="28" t="str">
        <f t="shared" si="21"/>
        <v>Paid off</v>
      </c>
      <c r="H366" s="29"/>
      <c r="O366" s="68">
        <f t="shared" si="22"/>
        <v>60</v>
      </c>
      <c r="P366" s="68">
        <f>IF(B366="", 0, IFERROR(MIN(C366+D366, VLOOKUP(B366, '💳 Debt Input'!$A:$G, 4, FALSE)), 0))</f>
        <v>0</v>
      </c>
    </row>
    <row r="367" spans="1:16" ht="18" customHeight="1" x14ac:dyDescent="0.35">
      <c r="A367" s="52"/>
      <c r="B367" s="26" t="str">
        <f>'💳 Debt Input'!$A$7</f>
        <v>Auto Loan</v>
      </c>
      <c r="C367" s="27">
        <f t="shared" si="23"/>
        <v>0</v>
      </c>
      <c r="D367" s="27">
        <f>ROUND(C367*'💳 Debt Input'!$C$7/12,2)</f>
        <v>0</v>
      </c>
      <c r="E367" s="27">
        <f>IF(B367="", "", MIN(C367+D367, MAX(P367, $F$3 - SUMIFS(E$10:E366, O$10:O366, O367) - SUMIFS(P368:P$1995, O368:O$1995, O367))))</f>
        <v>0</v>
      </c>
      <c r="F367" s="27">
        <f t="shared" si="20"/>
        <v>0</v>
      </c>
      <c r="G367" s="28" t="str">
        <f t="shared" si="21"/>
        <v>Paid off</v>
      </c>
      <c r="H367" s="29"/>
      <c r="O367" s="68">
        <f t="shared" si="22"/>
        <v>60</v>
      </c>
      <c r="P367" s="68">
        <f>IF(B367="", 0, IFERROR(MIN(C367+D367, VLOOKUP(B367, '💳 Debt Input'!$A:$G, 4, FALSE)), 0))</f>
        <v>0</v>
      </c>
    </row>
    <row r="368" spans="1:16" ht="18" customHeight="1" x14ac:dyDescent="0.35">
      <c r="A368" s="52"/>
      <c r="B368" s="26" t="str">
        <f>'💳 Debt Input'!$A$6</f>
        <v>Personal Loan</v>
      </c>
      <c r="C368" s="27">
        <f t="shared" si="23"/>
        <v>0</v>
      </c>
      <c r="D368" s="27">
        <f>ROUND(C368*'💳 Debt Input'!$C$6/12,2)</f>
        <v>0</v>
      </c>
      <c r="E368" s="27">
        <f>IF(B368="", "", MIN(C368+D368, MAX(P368, $F$3 - SUMIFS(E$10:E367, O$10:O367, O368) - SUMIFS(P369:P$1995, O369:O$1995, O368))))</f>
        <v>0</v>
      </c>
      <c r="F368" s="27">
        <f t="shared" si="20"/>
        <v>0</v>
      </c>
      <c r="G368" s="28" t="str">
        <f t="shared" si="21"/>
        <v>Paid off</v>
      </c>
      <c r="H368" s="29"/>
      <c r="O368" s="68">
        <f t="shared" si="22"/>
        <v>60</v>
      </c>
      <c r="P368" s="68">
        <f>IF(B368="", 0, IFERROR(MIN(C368+D368, VLOOKUP(B368, '💳 Debt Input'!$A:$G, 4, FALSE)), 0))</f>
        <v>0</v>
      </c>
    </row>
    <row r="369" spans="1:16" ht="18" customHeight="1" x14ac:dyDescent="0.35">
      <c r="A369" s="52"/>
      <c r="B369" s="26" t="str">
        <f>'💳 Debt Input'!$A$5</f>
        <v>Medical Bill</v>
      </c>
      <c r="C369" s="27">
        <f t="shared" si="23"/>
        <v>0</v>
      </c>
      <c r="D369" s="27">
        <f>ROUND(C369*'💳 Debt Input'!$C$5/12,2)</f>
        <v>0</v>
      </c>
      <c r="E369" s="27">
        <f>IF(B369="", "", MIN(C369+D369, MAX(P369, $F$3 - SUMIFS(E$10:E368, O$10:O368, O369) - SUMIFS(P370:P$1995, O370:O$1995, O369))))</f>
        <v>0</v>
      </c>
      <c r="F369" s="27">
        <f t="shared" si="20"/>
        <v>0</v>
      </c>
      <c r="G369" s="28" t="str">
        <f t="shared" si="21"/>
        <v>Paid off</v>
      </c>
      <c r="H369" s="29"/>
      <c r="O369" s="68">
        <f t="shared" si="22"/>
        <v>60</v>
      </c>
      <c r="P369" s="68">
        <f>IF(B369="", 0, IFERROR(MIN(C369+D369, VLOOKUP(B369, '💳 Debt Input'!$A:$G, 4, FALSE)), 0))</f>
        <v>0</v>
      </c>
    </row>
    <row r="370" spans="1:16" ht="18" customHeight="1" x14ac:dyDescent="0.35">
      <c r="A370" s="52"/>
      <c r="B370" s="26" t="str">
        <f>'💳 Debt Input'!$A$4</f>
        <v>Store Card</v>
      </c>
      <c r="C370" s="27">
        <f t="shared" si="23"/>
        <v>0</v>
      </c>
      <c r="D370" s="27">
        <f>ROUND(C370*'💳 Debt Input'!$C$4/12,2)</f>
        <v>0</v>
      </c>
      <c r="E370" s="27">
        <f>IF(B370="", "", MIN(C370+D370, MAX(P370, $F$3 - SUMIFS(E$10:E369, O$10:O369, O370) - SUMIFS(P371:P$1995, O371:O$1995, O370))))</f>
        <v>0</v>
      </c>
      <c r="F370" s="27">
        <f t="shared" si="20"/>
        <v>0</v>
      </c>
      <c r="G370" s="28" t="str">
        <f t="shared" si="21"/>
        <v>Paid off</v>
      </c>
      <c r="H370" s="29"/>
      <c r="O370" s="68">
        <f t="shared" si="22"/>
        <v>60</v>
      </c>
      <c r="P370" s="68">
        <f>IF(B370="", 0, IFERROR(MIN(C370+D370, VLOOKUP(B370, '💳 Debt Input'!$A:$G, 4, FALSE)), 0))</f>
        <v>0</v>
      </c>
    </row>
    <row r="371" spans="1:16" ht="18" customHeight="1" x14ac:dyDescent="0.35">
      <c r="A371" s="50">
        <v>61</v>
      </c>
      <c r="B371" s="8" t="str">
        <f>'💳 Debt Input'!$A$9</f>
        <v>Rewards Visa</v>
      </c>
      <c r="C371" s="10">
        <f t="shared" si="23"/>
        <v>2392.35</v>
      </c>
      <c r="D371" s="10">
        <f>ROUND(C371*'💳 Debt Input'!$C$9/12,2)</f>
        <v>71.77</v>
      </c>
      <c r="E371" s="10">
        <f>IF(B371="", "", MIN(C371+D371, MAX(P371, $F$3 - SUMIFS(E$10:E370, O$10:O370, O371) - SUMIFS(P372:P$1995, O372:O$1995, O371))))</f>
        <v>960</v>
      </c>
      <c r="F371" s="10">
        <f t="shared" si="20"/>
        <v>1504.12</v>
      </c>
      <c r="G371" s="19" t="str">
        <f t="shared" si="21"/>
        <v>Active</v>
      </c>
      <c r="H371" s="20"/>
      <c r="O371" s="68">
        <f t="shared" si="22"/>
        <v>61</v>
      </c>
      <c r="P371" s="68">
        <f>IF(B371="", 0, IFERROR(MIN(C371+D371, VLOOKUP(B371, '💳 Debt Input'!$A:$G, 4, FALSE)), 0))</f>
        <v>480</v>
      </c>
    </row>
    <row r="372" spans="1:16" ht="18" customHeight="1" x14ac:dyDescent="0.35">
      <c r="A372" s="52"/>
      <c r="B372" s="26" t="str">
        <f>'💳 Debt Input'!$A$8</f>
        <v>Travel Card</v>
      </c>
      <c r="C372" s="27">
        <f t="shared" si="23"/>
        <v>0</v>
      </c>
      <c r="D372" s="27">
        <f>ROUND(C372*'💳 Debt Input'!$C$8/12,2)</f>
        <v>0</v>
      </c>
      <c r="E372" s="27">
        <f>IF(B372="", "", MIN(C372+D372, MAX(P372, $F$3 - SUMIFS(E$10:E371, O$10:O371, O372) - SUMIFS(P373:P$1995, O373:O$1995, O372))))</f>
        <v>0</v>
      </c>
      <c r="F372" s="27">
        <f t="shared" si="20"/>
        <v>0</v>
      </c>
      <c r="G372" s="28" t="str">
        <f t="shared" si="21"/>
        <v>Paid off</v>
      </c>
      <c r="H372" s="29"/>
      <c r="O372" s="68">
        <f t="shared" si="22"/>
        <v>61</v>
      </c>
      <c r="P372" s="68">
        <f>IF(B372="", 0, IFERROR(MIN(C372+D372, VLOOKUP(B372, '💳 Debt Input'!$A:$G, 4, FALSE)), 0))</f>
        <v>0</v>
      </c>
    </row>
    <row r="373" spans="1:16" ht="18" customHeight="1" x14ac:dyDescent="0.35">
      <c r="A373" s="52"/>
      <c r="B373" s="26" t="str">
        <f>'💳 Debt Input'!$A$7</f>
        <v>Auto Loan</v>
      </c>
      <c r="C373" s="27">
        <f t="shared" si="23"/>
        <v>0</v>
      </c>
      <c r="D373" s="27">
        <f>ROUND(C373*'💳 Debt Input'!$C$7/12,2)</f>
        <v>0</v>
      </c>
      <c r="E373" s="27">
        <f>IF(B373="", "", MIN(C373+D373, MAX(P373, $F$3 - SUMIFS(E$10:E372, O$10:O372, O373) - SUMIFS(P374:P$1995, O374:O$1995, O373))))</f>
        <v>0</v>
      </c>
      <c r="F373" s="27">
        <f t="shared" si="20"/>
        <v>0</v>
      </c>
      <c r="G373" s="28" t="str">
        <f t="shared" si="21"/>
        <v>Paid off</v>
      </c>
      <c r="H373" s="29"/>
      <c r="O373" s="68">
        <f t="shared" si="22"/>
        <v>61</v>
      </c>
      <c r="P373" s="68">
        <f>IF(B373="", 0, IFERROR(MIN(C373+D373, VLOOKUP(B373, '💳 Debt Input'!$A:$G, 4, FALSE)), 0))</f>
        <v>0</v>
      </c>
    </row>
    <row r="374" spans="1:16" ht="18" customHeight="1" x14ac:dyDescent="0.35">
      <c r="A374" s="52"/>
      <c r="B374" s="26" t="str">
        <f>'💳 Debt Input'!$A$6</f>
        <v>Personal Loan</v>
      </c>
      <c r="C374" s="27">
        <f t="shared" si="23"/>
        <v>0</v>
      </c>
      <c r="D374" s="27">
        <f>ROUND(C374*'💳 Debt Input'!$C$6/12,2)</f>
        <v>0</v>
      </c>
      <c r="E374" s="27">
        <f>IF(B374="", "", MIN(C374+D374, MAX(P374, $F$3 - SUMIFS(E$10:E373, O$10:O373, O374) - SUMIFS(P375:P$1995, O375:O$1995, O374))))</f>
        <v>0</v>
      </c>
      <c r="F374" s="27">
        <f t="shared" si="20"/>
        <v>0</v>
      </c>
      <c r="G374" s="28" t="str">
        <f t="shared" si="21"/>
        <v>Paid off</v>
      </c>
      <c r="H374" s="29"/>
      <c r="O374" s="68">
        <f t="shared" si="22"/>
        <v>61</v>
      </c>
      <c r="P374" s="68">
        <f>IF(B374="", 0, IFERROR(MIN(C374+D374, VLOOKUP(B374, '💳 Debt Input'!$A:$G, 4, FALSE)), 0))</f>
        <v>0</v>
      </c>
    </row>
    <row r="375" spans="1:16" ht="18" customHeight="1" x14ac:dyDescent="0.35">
      <c r="A375" s="52"/>
      <c r="B375" s="26" t="str">
        <f>'💳 Debt Input'!$A$5</f>
        <v>Medical Bill</v>
      </c>
      <c r="C375" s="27">
        <f t="shared" si="23"/>
        <v>0</v>
      </c>
      <c r="D375" s="27">
        <f>ROUND(C375*'💳 Debt Input'!$C$5/12,2)</f>
        <v>0</v>
      </c>
      <c r="E375" s="27">
        <f>IF(B375="", "", MIN(C375+D375, MAX(P375, $F$3 - SUMIFS(E$10:E374, O$10:O374, O375) - SUMIFS(P376:P$1995, O376:O$1995, O375))))</f>
        <v>0</v>
      </c>
      <c r="F375" s="27">
        <f t="shared" si="20"/>
        <v>0</v>
      </c>
      <c r="G375" s="28" t="str">
        <f t="shared" si="21"/>
        <v>Paid off</v>
      </c>
      <c r="H375" s="29"/>
      <c r="O375" s="68">
        <f t="shared" si="22"/>
        <v>61</v>
      </c>
      <c r="P375" s="68">
        <f>IF(B375="", 0, IFERROR(MIN(C375+D375, VLOOKUP(B375, '💳 Debt Input'!$A:$G, 4, FALSE)), 0))</f>
        <v>0</v>
      </c>
    </row>
    <row r="376" spans="1:16" ht="18" customHeight="1" x14ac:dyDescent="0.35">
      <c r="A376" s="52"/>
      <c r="B376" s="26" t="str">
        <f>'💳 Debt Input'!$A$4</f>
        <v>Store Card</v>
      </c>
      <c r="C376" s="27">
        <f t="shared" si="23"/>
        <v>0</v>
      </c>
      <c r="D376" s="27">
        <f>ROUND(C376*'💳 Debt Input'!$C$4/12,2)</f>
        <v>0</v>
      </c>
      <c r="E376" s="27">
        <f>IF(B376="", "", MIN(C376+D376, MAX(P376, $F$3 - SUMIFS(E$10:E375, O$10:O375, O376) - SUMIFS(P377:P$1995, O377:O$1995, O376))))</f>
        <v>0</v>
      </c>
      <c r="F376" s="27">
        <f t="shared" si="20"/>
        <v>0</v>
      </c>
      <c r="G376" s="28" t="str">
        <f t="shared" si="21"/>
        <v>Paid off</v>
      </c>
      <c r="H376" s="29"/>
      <c r="O376" s="68">
        <f t="shared" si="22"/>
        <v>61</v>
      </c>
      <c r="P376" s="68">
        <f>IF(B376="", 0, IFERROR(MIN(C376+D376, VLOOKUP(B376, '💳 Debt Input'!$A:$G, 4, FALSE)), 0))</f>
        <v>0</v>
      </c>
    </row>
    <row r="377" spans="1:16" ht="18" customHeight="1" x14ac:dyDescent="0.35">
      <c r="A377" s="48">
        <v>62</v>
      </c>
      <c r="B377" s="6" t="str">
        <f>'💳 Debt Input'!$A$9</f>
        <v>Rewards Visa</v>
      </c>
      <c r="C377" s="12">
        <f t="shared" si="23"/>
        <v>1504.12</v>
      </c>
      <c r="D377" s="12">
        <f>ROUND(C377*'💳 Debt Input'!$C$9/12,2)</f>
        <v>45.12</v>
      </c>
      <c r="E377" s="12">
        <f>IF(B377="", "", MIN(C377+D377, MAX(P377, $F$3 - SUMIFS(E$10:E376, O$10:O376, O377) - SUMIFS(P378:P$1995, O378:O$1995, O377))))</f>
        <v>960</v>
      </c>
      <c r="F377" s="12">
        <f t="shared" si="20"/>
        <v>589.24</v>
      </c>
      <c r="G377" s="22" t="str">
        <f t="shared" si="21"/>
        <v>Active</v>
      </c>
      <c r="H377" s="23"/>
      <c r="O377" s="68">
        <f t="shared" si="22"/>
        <v>62</v>
      </c>
      <c r="P377" s="68">
        <f>IF(B377="", 0, IFERROR(MIN(C377+D377, VLOOKUP(B377, '💳 Debt Input'!$A:$G, 4, FALSE)), 0))</f>
        <v>480</v>
      </c>
    </row>
    <row r="378" spans="1:16" ht="18" customHeight="1" x14ac:dyDescent="0.35">
      <c r="A378" s="52"/>
      <c r="B378" s="26" t="str">
        <f>'💳 Debt Input'!$A$8</f>
        <v>Travel Card</v>
      </c>
      <c r="C378" s="27">
        <f t="shared" si="23"/>
        <v>0</v>
      </c>
      <c r="D378" s="27">
        <f>ROUND(C378*'💳 Debt Input'!$C$8/12,2)</f>
        <v>0</v>
      </c>
      <c r="E378" s="27">
        <f>IF(B378="", "", MIN(C378+D378, MAX(P378, $F$3 - SUMIFS(E$10:E377, O$10:O377, O378) - SUMIFS(P379:P$1995, O379:O$1995, O378))))</f>
        <v>0</v>
      </c>
      <c r="F378" s="27">
        <f t="shared" si="20"/>
        <v>0</v>
      </c>
      <c r="G378" s="28" t="str">
        <f t="shared" si="21"/>
        <v>Paid off</v>
      </c>
      <c r="H378" s="29"/>
      <c r="O378" s="68">
        <f t="shared" si="22"/>
        <v>62</v>
      </c>
      <c r="P378" s="68">
        <f>IF(B378="", 0, IFERROR(MIN(C378+D378, VLOOKUP(B378, '💳 Debt Input'!$A:$G, 4, FALSE)), 0))</f>
        <v>0</v>
      </c>
    </row>
    <row r="379" spans="1:16" ht="18" customHeight="1" x14ac:dyDescent="0.35">
      <c r="A379" s="52"/>
      <c r="B379" s="26" t="str">
        <f>'💳 Debt Input'!$A$7</f>
        <v>Auto Loan</v>
      </c>
      <c r="C379" s="27">
        <f t="shared" si="23"/>
        <v>0</v>
      </c>
      <c r="D379" s="27">
        <f>ROUND(C379*'💳 Debt Input'!$C$7/12,2)</f>
        <v>0</v>
      </c>
      <c r="E379" s="27">
        <f>IF(B379="", "", MIN(C379+D379, MAX(P379, $F$3 - SUMIFS(E$10:E378, O$10:O378, O379) - SUMIFS(P380:P$1995, O380:O$1995, O379))))</f>
        <v>0</v>
      </c>
      <c r="F379" s="27">
        <f t="shared" si="20"/>
        <v>0</v>
      </c>
      <c r="G379" s="28" t="str">
        <f t="shared" si="21"/>
        <v>Paid off</v>
      </c>
      <c r="H379" s="29"/>
      <c r="O379" s="68">
        <f t="shared" si="22"/>
        <v>62</v>
      </c>
      <c r="P379" s="68">
        <f>IF(B379="", 0, IFERROR(MIN(C379+D379, VLOOKUP(B379, '💳 Debt Input'!$A:$G, 4, FALSE)), 0))</f>
        <v>0</v>
      </c>
    </row>
    <row r="380" spans="1:16" ht="18" customHeight="1" x14ac:dyDescent="0.35">
      <c r="A380" s="52"/>
      <c r="B380" s="26" t="str">
        <f>'💳 Debt Input'!$A$6</f>
        <v>Personal Loan</v>
      </c>
      <c r="C380" s="27">
        <f t="shared" si="23"/>
        <v>0</v>
      </c>
      <c r="D380" s="27">
        <f>ROUND(C380*'💳 Debt Input'!$C$6/12,2)</f>
        <v>0</v>
      </c>
      <c r="E380" s="27">
        <f>IF(B380="", "", MIN(C380+D380, MAX(P380, $F$3 - SUMIFS(E$10:E379, O$10:O379, O380) - SUMIFS(P381:P$1995, O381:O$1995, O380))))</f>
        <v>0</v>
      </c>
      <c r="F380" s="27">
        <f t="shared" si="20"/>
        <v>0</v>
      </c>
      <c r="G380" s="28" t="str">
        <f t="shared" si="21"/>
        <v>Paid off</v>
      </c>
      <c r="H380" s="29"/>
      <c r="O380" s="68">
        <f t="shared" si="22"/>
        <v>62</v>
      </c>
      <c r="P380" s="68">
        <f>IF(B380="", 0, IFERROR(MIN(C380+D380, VLOOKUP(B380, '💳 Debt Input'!$A:$G, 4, FALSE)), 0))</f>
        <v>0</v>
      </c>
    </row>
    <row r="381" spans="1:16" ht="18" customHeight="1" x14ac:dyDescent="0.35">
      <c r="A381" s="52"/>
      <c r="B381" s="26" t="str">
        <f>'💳 Debt Input'!$A$5</f>
        <v>Medical Bill</v>
      </c>
      <c r="C381" s="27">
        <f t="shared" si="23"/>
        <v>0</v>
      </c>
      <c r="D381" s="27">
        <f>ROUND(C381*'💳 Debt Input'!$C$5/12,2)</f>
        <v>0</v>
      </c>
      <c r="E381" s="27">
        <f>IF(B381="", "", MIN(C381+D381, MAX(P381, $F$3 - SUMIFS(E$10:E380, O$10:O380, O381) - SUMIFS(P382:P$1995, O382:O$1995, O381))))</f>
        <v>0</v>
      </c>
      <c r="F381" s="27">
        <f t="shared" si="20"/>
        <v>0</v>
      </c>
      <c r="G381" s="28" t="str">
        <f t="shared" si="21"/>
        <v>Paid off</v>
      </c>
      <c r="H381" s="29"/>
      <c r="O381" s="68">
        <f t="shared" si="22"/>
        <v>62</v>
      </c>
      <c r="P381" s="68">
        <f>IF(B381="", 0, IFERROR(MIN(C381+D381, VLOOKUP(B381, '💳 Debt Input'!$A:$G, 4, FALSE)), 0))</f>
        <v>0</v>
      </c>
    </row>
    <row r="382" spans="1:16" ht="18" customHeight="1" x14ac:dyDescent="0.35">
      <c r="A382" s="52"/>
      <c r="B382" s="26" t="str">
        <f>'💳 Debt Input'!$A$4</f>
        <v>Store Card</v>
      </c>
      <c r="C382" s="27">
        <f t="shared" si="23"/>
        <v>0</v>
      </c>
      <c r="D382" s="27">
        <f>ROUND(C382*'💳 Debt Input'!$C$4/12,2)</f>
        <v>0</v>
      </c>
      <c r="E382" s="27">
        <f>IF(B382="", "", MIN(C382+D382, MAX(P382, $F$3 - SUMIFS(E$10:E381, O$10:O381, O382) - SUMIFS(P383:P$1995, O383:O$1995, O382))))</f>
        <v>0</v>
      </c>
      <c r="F382" s="27">
        <f t="shared" si="20"/>
        <v>0</v>
      </c>
      <c r="G382" s="28" t="str">
        <f t="shared" si="21"/>
        <v>Paid off</v>
      </c>
      <c r="H382" s="29"/>
      <c r="O382" s="68">
        <f t="shared" si="22"/>
        <v>62</v>
      </c>
      <c r="P382" s="68">
        <f>IF(B382="", 0, IFERROR(MIN(C382+D382, VLOOKUP(B382, '💳 Debt Input'!$A:$G, 4, FALSE)), 0))</f>
        <v>0</v>
      </c>
    </row>
    <row r="383" spans="1:16" ht="18" customHeight="1" x14ac:dyDescent="0.35">
      <c r="A383" s="51">
        <v>63</v>
      </c>
      <c r="B383" s="26" t="str">
        <f>'💳 Debt Input'!$A$9</f>
        <v>Rewards Visa</v>
      </c>
      <c r="C383" s="27">
        <f t="shared" si="23"/>
        <v>589.24</v>
      </c>
      <c r="D383" s="27">
        <f>ROUND(C383*'💳 Debt Input'!$C$9/12,2)</f>
        <v>17.68</v>
      </c>
      <c r="E383" s="27">
        <f>IF(B383="", "", MIN(C383+D383, MAX(P383, $F$3 - SUMIFS(E$10:E382, O$10:O382, O383) - SUMIFS(P384:P$1995, O384:O$1995, O383))))</f>
        <v>606.91999999999996</v>
      </c>
      <c r="F383" s="27">
        <f t="shared" si="20"/>
        <v>0</v>
      </c>
      <c r="G383" s="28" t="str">
        <f t="shared" si="21"/>
        <v>Paid off</v>
      </c>
      <c r="H383" s="26"/>
      <c r="O383" s="68">
        <f t="shared" si="22"/>
        <v>63</v>
      </c>
      <c r="P383" s="68">
        <f>IF(B383="", 0, IFERROR(MIN(C383+D383, VLOOKUP(B383, '💳 Debt Input'!$A:$G, 4, FALSE)), 0))</f>
        <v>480</v>
      </c>
    </row>
    <row r="384" spans="1:16" ht="18" customHeight="1" x14ac:dyDescent="0.35">
      <c r="A384" s="52"/>
      <c r="B384" s="26" t="str">
        <f>'💳 Debt Input'!$A$8</f>
        <v>Travel Card</v>
      </c>
      <c r="C384" s="27">
        <f t="shared" si="23"/>
        <v>0</v>
      </c>
      <c r="D384" s="27">
        <f>ROUND(C384*'💳 Debt Input'!$C$8/12,2)</f>
        <v>0</v>
      </c>
      <c r="E384" s="27">
        <f>IF(B384="", "", MIN(C384+D384, MAX(P384, $F$3 - SUMIFS(E$10:E383, O$10:O383, O384) - SUMIFS(P385:P$1995, O385:O$1995, O384))))</f>
        <v>0</v>
      </c>
      <c r="F384" s="27">
        <f t="shared" si="20"/>
        <v>0</v>
      </c>
      <c r="G384" s="28" t="str">
        <f t="shared" si="21"/>
        <v>Paid off</v>
      </c>
      <c r="H384" s="29"/>
      <c r="O384" s="68">
        <f t="shared" si="22"/>
        <v>63</v>
      </c>
      <c r="P384" s="68">
        <f>IF(B384="", 0, IFERROR(MIN(C384+D384, VLOOKUP(B384, '💳 Debt Input'!$A:$G, 4, FALSE)), 0))</f>
        <v>0</v>
      </c>
    </row>
    <row r="385" spans="1:16" ht="18" customHeight="1" x14ac:dyDescent="0.35">
      <c r="A385" s="52"/>
      <c r="B385" s="26" t="str">
        <f>'💳 Debt Input'!$A$7</f>
        <v>Auto Loan</v>
      </c>
      <c r="C385" s="27">
        <f t="shared" si="23"/>
        <v>0</v>
      </c>
      <c r="D385" s="27">
        <f>ROUND(C385*'💳 Debt Input'!$C$7/12,2)</f>
        <v>0</v>
      </c>
      <c r="E385" s="27">
        <f>IF(B385="", "", MIN(C385+D385, MAX(P385, $F$3 - SUMIFS(E$10:E384, O$10:O384, O385) - SUMIFS(P386:P$1995, O386:O$1995, O385))))</f>
        <v>0</v>
      </c>
      <c r="F385" s="27">
        <f t="shared" si="20"/>
        <v>0</v>
      </c>
      <c r="G385" s="28" t="str">
        <f t="shared" si="21"/>
        <v>Paid off</v>
      </c>
      <c r="H385" s="29"/>
      <c r="O385" s="68">
        <f t="shared" si="22"/>
        <v>63</v>
      </c>
      <c r="P385" s="68">
        <f>IF(B385="", 0, IFERROR(MIN(C385+D385, VLOOKUP(B385, '💳 Debt Input'!$A:$G, 4, FALSE)), 0))</f>
        <v>0</v>
      </c>
    </row>
    <row r="386" spans="1:16" ht="18" customHeight="1" x14ac:dyDescent="0.35">
      <c r="A386" s="52"/>
      <c r="B386" s="26" t="str">
        <f>'💳 Debt Input'!$A$6</f>
        <v>Personal Loan</v>
      </c>
      <c r="C386" s="27">
        <f t="shared" si="23"/>
        <v>0</v>
      </c>
      <c r="D386" s="27">
        <f>ROUND(C386*'💳 Debt Input'!$C$6/12,2)</f>
        <v>0</v>
      </c>
      <c r="E386" s="27">
        <f>IF(B386="", "", MIN(C386+D386, MAX(P386, $F$3 - SUMIFS(E$10:E385, O$10:O385, O386) - SUMIFS(P387:P$1995, O387:O$1995, O386))))</f>
        <v>0</v>
      </c>
      <c r="F386" s="27">
        <f t="shared" si="20"/>
        <v>0</v>
      </c>
      <c r="G386" s="28" t="str">
        <f t="shared" si="21"/>
        <v>Paid off</v>
      </c>
      <c r="H386" s="29"/>
      <c r="O386" s="68">
        <f t="shared" si="22"/>
        <v>63</v>
      </c>
      <c r="P386" s="68">
        <f>IF(B386="", 0, IFERROR(MIN(C386+D386, VLOOKUP(B386, '💳 Debt Input'!$A:$G, 4, FALSE)), 0))</f>
        <v>0</v>
      </c>
    </row>
    <row r="387" spans="1:16" ht="18" customHeight="1" x14ac:dyDescent="0.35">
      <c r="A387" s="52"/>
      <c r="B387" s="26" t="str">
        <f>'💳 Debt Input'!$A$5</f>
        <v>Medical Bill</v>
      </c>
      <c r="C387" s="27">
        <f t="shared" si="23"/>
        <v>0</v>
      </c>
      <c r="D387" s="27">
        <f>ROUND(C387*'💳 Debt Input'!$C$5/12,2)</f>
        <v>0</v>
      </c>
      <c r="E387" s="27">
        <f>IF(B387="", "", MIN(C387+D387, MAX(P387, $F$3 - SUMIFS(E$10:E386, O$10:O386, O387) - SUMIFS(P388:P$1995, O388:O$1995, O387))))</f>
        <v>0</v>
      </c>
      <c r="F387" s="27">
        <f t="shared" si="20"/>
        <v>0</v>
      </c>
      <c r="G387" s="28" t="str">
        <f t="shared" si="21"/>
        <v>Paid off</v>
      </c>
      <c r="H387" s="29"/>
      <c r="O387" s="68">
        <f t="shared" si="22"/>
        <v>63</v>
      </c>
      <c r="P387" s="68">
        <f>IF(B387="", 0, IFERROR(MIN(C387+D387, VLOOKUP(B387, '💳 Debt Input'!$A:$G, 4, FALSE)), 0))</f>
        <v>0</v>
      </c>
    </row>
    <row r="388" spans="1:16" ht="18" customHeight="1" x14ac:dyDescent="0.35">
      <c r="A388" s="52"/>
      <c r="B388" s="26" t="str">
        <f>'💳 Debt Input'!$A$4</f>
        <v>Store Card</v>
      </c>
      <c r="C388" s="27">
        <f t="shared" si="23"/>
        <v>0</v>
      </c>
      <c r="D388" s="27">
        <f>ROUND(C388*'💳 Debt Input'!$C$4/12,2)</f>
        <v>0</v>
      </c>
      <c r="E388" s="27">
        <f>IF(B388="", "", MIN(C388+D388, MAX(P388, $F$3 - SUMIFS(E$10:E387, O$10:O387, O388) - SUMIFS(P389:P$1995, O389:O$1995, O388))))</f>
        <v>0</v>
      </c>
      <c r="F388" s="27">
        <f t="shared" si="20"/>
        <v>0</v>
      </c>
      <c r="G388" s="28" t="str">
        <f t="shared" si="21"/>
        <v>Paid off</v>
      </c>
      <c r="H388" s="29"/>
      <c r="O388" s="68">
        <f t="shared" si="22"/>
        <v>63</v>
      </c>
      <c r="P388" s="68">
        <f>IF(B388="", 0, IFERROR(MIN(C388+D388, VLOOKUP(B388, '💳 Debt Input'!$A:$G, 4, FALSE)), 0))</f>
        <v>0</v>
      </c>
    </row>
    <row r="389" spans="1:16" ht="10" customHeight="1" x14ac:dyDescent="0.35">
      <c r="A389" s="51">
        <v>64</v>
      </c>
      <c r="B389" s="26" t="str">
        <f>'💳 Debt Input'!$A$9</f>
        <v>Rewards Visa</v>
      </c>
      <c r="C389" s="27">
        <f t="shared" ref="C389:C394" si="24">F383</f>
        <v>0</v>
      </c>
      <c r="D389" s="27">
        <f>ROUND(C389*'💳 Debt Input'!$C$9/12,2)</f>
        <v>0</v>
      </c>
      <c r="E389" s="27">
        <f>IF(B389="", "", MIN(C389+D389, MAX(P389, $F$3 - SUMIFS(E$10:E388, O$10:O388, O389) - SUMIFS(P390:P$1995, O390:O$1995, O389))))</f>
        <v>0</v>
      </c>
      <c r="F389" s="27">
        <f t="shared" ref="F389:F394" si="25">ROUND(MAX(0,C389+D389-E389),2)</f>
        <v>0</v>
      </c>
      <c r="G389" s="28" t="str">
        <f t="shared" ref="G389:G394" si="26">IF(F389=0,"Paid off","Active")</f>
        <v>Paid off</v>
      </c>
      <c r="H389" s="29"/>
      <c r="O389" s="68">
        <f t="shared" si="22"/>
        <v>64</v>
      </c>
      <c r="P389" s="68">
        <f>IF(B389="", 0, IFERROR(MIN(C389+D389, VLOOKUP(B389, '💳 Debt Input'!$A:$G, 4, FALSE)), 0))</f>
        <v>0</v>
      </c>
    </row>
    <row r="390" spans="1:16" ht="24" customHeight="1" x14ac:dyDescent="0.35">
      <c r="A390" s="52"/>
      <c r="B390" s="26" t="str">
        <f>'💳 Debt Input'!$A$8</f>
        <v>Travel Card</v>
      </c>
      <c r="C390" s="27">
        <f t="shared" si="24"/>
        <v>0</v>
      </c>
      <c r="D390" s="27">
        <f>ROUND(C390*'💳 Debt Input'!$C$8/12,2)</f>
        <v>0</v>
      </c>
      <c r="E390" s="27">
        <f>IF(B390="", "", MIN(C390+D390, MAX(P390, $F$3 - SUMIFS(E$10:E389, O$10:O389, O390) - SUMIFS(P391:P$1995, O391:O$1995, O390))))</f>
        <v>0</v>
      </c>
      <c r="F390" s="27">
        <f t="shared" si="25"/>
        <v>0</v>
      </c>
      <c r="G390" s="28" t="str">
        <f t="shared" si="26"/>
        <v>Paid off</v>
      </c>
      <c r="H390" s="29"/>
      <c r="O390" s="68">
        <f t="shared" si="22"/>
        <v>64</v>
      </c>
      <c r="P390" s="68">
        <f>IF(B390="", 0, IFERROR(MIN(C390+D390, VLOOKUP(B390, '💳 Debt Input'!$A:$G, 4, FALSE)), 0))</f>
        <v>0</v>
      </c>
    </row>
    <row r="391" spans="1:16" ht="22" customHeight="1" x14ac:dyDescent="0.35">
      <c r="A391" s="52"/>
      <c r="B391" s="26" t="str">
        <f>'💳 Debt Input'!$A$7</f>
        <v>Auto Loan</v>
      </c>
      <c r="C391" s="27">
        <f t="shared" si="24"/>
        <v>0</v>
      </c>
      <c r="D391" s="27">
        <f>ROUND(C391*'💳 Debt Input'!$C$7/12,2)</f>
        <v>0</v>
      </c>
      <c r="E391" s="27">
        <f>IF(B391="", "", MIN(C391+D391, MAX(P391, $F$3 - SUMIFS(E$10:E390, O$10:O390, O391) - SUMIFS(P392:P$1995, O392:O$1995, O391))))</f>
        <v>0</v>
      </c>
      <c r="F391" s="27">
        <f t="shared" si="25"/>
        <v>0</v>
      </c>
      <c r="G391" s="28" t="str">
        <f t="shared" si="26"/>
        <v>Paid off</v>
      </c>
      <c r="H391" s="29"/>
      <c r="O391" s="68">
        <f t="shared" si="22"/>
        <v>64</v>
      </c>
      <c r="P391" s="68">
        <f>IF(B391="", 0, IFERROR(MIN(C391+D391, VLOOKUP(B391, '💳 Debt Input'!$A:$G, 4, FALSE)), 0))</f>
        <v>0</v>
      </c>
    </row>
    <row r="392" spans="1:16" ht="22" customHeight="1" x14ac:dyDescent="0.35">
      <c r="A392" s="52"/>
      <c r="B392" s="26" t="str">
        <f>'💳 Debt Input'!$A$6</f>
        <v>Personal Loan</v>
      </c>
      <c r="C392" s="27">
        <f t="shared" si="24"/>
        <v>0</v>
      </c>
      <c r="D392" s="27">
        <f>ROUND(C392*'💳 Debt Input'!$C$6/12,2)</f>
        <v>0</v>
      </c>
      <c r="E392" s="27">
        <f>IF(B392="", "", MIN(C392+D392, MAX(P392, $F$3 - SUMIFS(E$10:E391, O$10:O391, O392) - SUMIFS(P393:P$1995, O393:O$1995, O392))))</f>
        <v>0</v>
      </c>
      <c r="F392" s="27">
        <f t="shared" si="25"/>
        <v>0</v>
      </c>
      <c r="G392" s="28" t="str">
        <f t="shared" si="26"/>
        <v>Paid off</v>
      </c>
      <c r="H392" s="29"/>
      <c r="O392" s="68">
        <f t="shared" si="22"/>
        <v>64</v>
      </c>
      <c r="P392" s="68">
        <f>IF(B392="", 0, IFERROR(MIN(C392+D392, VLOOKUP(B392, '💳 Debt Input'!$A:$G, 4, FALSE)), 0))</f>
        <v>0</v>
      </c>
    </row>
    <row r="393" spans="1:16" ht="22" customHeight="1" x14ac:dyDescent="0.35">
      <c r="A393" s="52"/>
      <c r="B393" s="26" t="str">
        <f>'💳 Debt Input'!$A$5</f>
        <v>Medical Bill</v>
      </c>
      <c r="C393" s="27">
        <f t="shared" si="24"/>
        <v>0</v>
      </c>
      <c r="D393" s="27">
        <f>ROUND(C393*'💳 Debt Input'!$C$5/12,2)</f>
        <v>0</v>
      </c>
      <c r="E393" s="27">
        <f>IF(B393="", "", MIN(C393+D393, MAX(P393, $F$3 - SUMIFS(E$10:E392, O$10:O392, O393) - SUMIFS(P394:P$1995, O394:O$1995, O393))))</f>
        <v>0</v>
      </c>
      <c r="F393" s="27">
        <f t="shared" si="25"/>
        <v>0</v>
      </c>
      <c r="G393" s="28" t="str">
        <f t="shared" si="26"/>
        <v>Paid off</v>
      </c>
      <c r="H393" s="29"/>
      <c r="O393" s="68">
        <f t="shared" si="22"/>
        <v>64</v>
      </c>
      <c r="P393" s="68">
        <f>IF(B393="", 0, IFERROR(MIN(C393+D393, VLOOKUP(B393, '💳 Debt Input'!$A:$G, 4, FALSE)), 0))</f>
        <v>0</v>
      </c>
    </row>
    <row r="394" spans="1:16" ht="10" customHeight="1" x14ac:dyDescent="0.35">
      <c r="A394" s="52"/>
      <c r="B394" s="26" t="str">
        <f>'💳 Debt Input'!$A$4</f>
        <v>Store Card</v>
      </c>
      <c r="C394" s="27">
        <f t="shared" si="24"/>
        <v>0</v>
      </c>
      <c r="D394" s="27">
        <f>ROUND(C394*'💳 Debt Input'!$C$4/12,2)</f>
        <v>0</v>
      </c>
      <c r="E394" s="27">
        <f>IF(B394="", "", MIN(C394+D394, MAX(P394, $F$3 - SUMIFS(E$10:E393, O$10:O393, O394) - SUMIFS(P4:P$1995, O4:O$1995, O394))))</f>
        <v>0</v>
      </c>
      <c r="F394" s="27">
        <f t="shared" si="25"/>
        <v>0</v>
      </c>
      <c r="G394" s="28" t="str">
        <f t="shared" si="26"/>
        <v>Paid off</v>
      </c>
      <c r="H394" s="29"/>
      <c r="O394" s="68">
        <f t="shared" si="22"/>
        <v>64</v>
      </c>
      <c r="P394" s="68">
        <f>IF(B394="", 0, IFERROR(MIN(C394+D394, VLOOKUP(B394, '💳 Debt Input'!$A:$G, 4, FALSE)), 0))</f>
        <v>0</v>
      </c>
    </row>
    <row r="395" spans="1:16" ht="22" customHeight="1" x14ac:dyDescent="0.35">
      <c r="O395" s="68" t="e">
        <f xml:space="preserve"> IF(A395&lt;&gt;"", A395,#REF!)</f>
        <v>#REF!</v>
      </c>
      <c r="P395" s="68">
        <f>IF(B395="", 0, IFERROR(MIN(C395+D395, VLOOKUP(B395, '💳 Debt Input'!$A:$G, 4, FALSE)), 0))</f>
        <v>0</v>
      </c>
    </row>
    <row r="396" spans="1:16" x14ac:dyDescent="0.35">
      <c r="O396" s="68" t="e">
        <f t="shared" ref="O396:O403" si="27">IF(A396&lt;&gt;"", A396, O395)</f>
        <v>#REF!</v>
      </c>
      <c r="P396" s="68">
        <f>IF(B396="", 0, IFERROR(MIN(C396+D396, VLOOKUP(B396, '💳 Debt Input'!$A:$G, 4, FALSE)), 0))</f>
        <v>0</v>
      </c>
    </row>
    <row r="397" spans="1:16" x14ac:dyDescent="0.35">
      <c r="O397" s="68" t="e">
        <f t="shared" si="27"/>
        <v>#REF!</v>
      </c>
      <c r="P397" s="68">
        <f>IF(B397="", 0, IFERROR(MIN(C397+D397, VLOOKUP(B397, '💳 Debt Input'!$A:$G, 4, FALSE)), 0))</f>
        <v>0</v>
      </c>
    </row>
    <row r="398" spans="1:16" x14ac:dyDescent="0.35">
      <c r="O398" s="68" t="e">
        <f t="shared" si="27"/>
        <v>#REF!</v>
      </c>
      <c r="P398" s="68">
        <f>IF(B398="", 0, IFERROR(MIN(C398+D398, VLOOKUP(B398, '💳 Debt Input'!$A:$G, 4, FALSE)), 0))</f>
        <v>0</v>
      </c>
    </row>
    <row r="399" spans="1:16" x14ac:dyDescent="0.35">
      <c r="O399" s="68" t="e">
        <f t="shared" si="27"/>
        <v>#REF!</v>
      </c>
      <c r="P399" s="68">
        <f>IF(B399="", 0, IFERROR(MIN(C399+D399, VLOOKUP(B399, '💳 Debt Input'!$A:$G, 4, FALSE)), 0))</f>
        <v>0</v>
      </c>
    </row>
    <row r="400" spans="1:16" x14ac:dyDescent="0.35">
      <c r="O400" s="68" t="e">
        <f t="shared" si="27"/>
        <v>#REF!</v>
      </c>
      <c r="P400" s="68">
        <f>IF(B400="", 0, IFERROR(MIN(C400+D400, VLOOKUP(B400, '💳 Debt Input'!$A:$G, 4, FALSE)), 0))</f>
        <v>0</v>
      </c>
    </row>
    <row r="401" spans="15:16" x14ac:dyDescent="0.35">
      <c r="O401" s="68" t="e">
        <f t="shared" si="27"/>
        <v>#REF!</v>
      </c>
      <c r="P401" s="68">
        <f>IF(B401="", 0, IFERROR(MIN(C401+D401, VLOOKUP(B401, '💳 Debt Input'!$A:$G, 4, FALSE)), 0))</f>
        <v>0</v>
      </c>
    </row>
    <row r="402" spans="15:16" x14ac:dyDescent="0.35">
      <c r="O402" s="68" t="e">
        <f t="shared" si="27"/>
        <v>#REF!</v>
      </c>
      <c r="P402" s="68">
        <f>IF(B402="", 0, IFERROR(MIN(C402+D402, VLOOKUP(B402, '💳 Debt Input'!$A:$G, 4, FALSE)), 0))</f>
        <v>0</v>
      </c>
    </row>
    <row r="403" spans="15:16" x14ac:dyDescent="0.35">
      <c r="O403" s="68" t="e">
        <f t="shared" si="27"/>
        <v>#REF!</v>
      </c>
      <c r="P403" s="68">
        <f>IF(B403="", 0, IFERROR(MIN(C403+D403, VLOOKUP(B403, '💳 Debt Input'!$A:$G, 4, FALSE)), 0))</f>
        <v>0</v>
      </c>
    </row>
  </sheetData>
  <mergeCells count="6">
    <mergeCell ref="A9:H9"/>
    <mergeCell ref="A2:H2"/>
    <mergeCell ref="A1:H1"/>
    <mergeCell ref="A4:B4"/>
    <mergeCell ref="C4:E4"/>
    <mergeCell ref="C3:E3"/>
  </mergeCells>
  <conditionalFormatting sqref="A4 C4 F4:H4 A5:H8 A11:H403">
    <cfRule type="expression" dxfId="7" priority="3">
      <formula>$G4="Paid off"</formula>
    </cfRule>
  </conditionalFormatting>
  <conditionalFormatting sqref="A11:M394">
    <cfRule type="expression" dxfId="6" priority="2">
      <formula>$G11="Paid off"</formula>
    </cfRule>
  </conditionalFormatting>
  <conditionalFormatting sqref="C4 C5:D8">
    <cfRule type="expression" dxfId="5" priority="6">
      <formula>#REF!="Paid off"</formula>
    </cfRule>
  </conditionalFormatting>
  <pageMargins left="0.75" right="0.75" top="1" bottom="1" header="0.5" footer="0.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C4B6"/>
  </sheetPr>
  <dimension ref="A1:L392"/>
  <sheetViews>
    <sheetView workbookViewId="0">
      <pane ySplit="2" topLeftCell="A3" activePane="bottomLeft" state="frozen"/>
      <selection activeCell="B400" sqref="B400"/>
      <selection pane="bottomLeft" activeCell="F27" sqref="F27"/>
    </sheetView>
  </sheetViews>
  <sheetFormatPr defaultRowHeight="14.5" x14ac:dyDescent="0.35"/>
  <cols>
    <col min="1" max="1" width="16" customWidth="1"/>
    <col min="2" max="3" width="14" customWidth="1"/>
    <col min="4" max="4" width="16" customWidth="1"/>
    <col min="5" max="6" width="14" customWidth="1"/>
    <col min="7" max="9" width="16" customWidth="1"/>
    <col min="10" max="12" width="14" customWidth="1"/>
  </cols>
  <sheetData>
    <row r="1" spans="1:12" ht="30" customHeight="1" x14ac:dyDescent="0.35">
      <c r="A1" s="92" t="s">
        <v>70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ht="18" customHeight="1" x14ac:dyDescent="0.35">
      <c r="A2" s="91" t="s">
        <v>71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x14ac:dyDescent="0.35">
      <c r="A3" s="102" t="str">
        <f ca="1">"Snowball Months" &amp; CHAR(10) &amp; '❄️ Snowball Payoff'!B5</f>
        <v>Snowball Months
65</v>
      </c>
      <c r="B3" s="103"/>
      <c r="C3" s="104"/>
      <c r="D3" s="109" t="str">
        <f ca="1">"Snowball Interest" &amp; CHAR(10) &amp; TEXT('❄️ Snowball Payoff'!B6, "#,##0.00")</f>
        <v>Snowball Interest
31,418.02</v>
      </c>
      <c r="E3" s="103"/>
      <c r="F3" s="104"/>
      <c r="G3" s="108" t="str">
        <f>"Avalanche Months" &amp; CHAR(10) &amp; '🌊 Avalanche Payoff'!B5</f>
        <v>Avalanche Months
63</v>
      </c>
      <c r="H3" s="103"/>
      <c r="I3" s="104"/>
      <c r="J3" s="110" t="str">
        <f>"Avalanche Interest" &amp; CHAR(10) &amp; TEXT('🌊 Avalanche Payoff'!B6, "#,##0.00")</f>
        <v>Avalanche Interest
28,926.92</v>
      </c>
      <c r="K3" s="103"/>
      <c r="L3" s="104"/>
    </row>
    <row r="4" spans="1:12" ht="23.15" customHeight="1" x14ac:dyDescent="0.35">
      <c r="A4" s="105"/>
      <c r="B4" s="106"/>
      <c r="C4" s="107"/>
      <c r="D4" s="105"/>
      <c r="E4" s="106"/>
      <c r="F4" s="107"/>
      <c r="G4" s="105"/>
      <c r="H4" s="106"/>
      <c r="I4" s="107"/>
      <c r="J4" s="105"/>
      <c r="K4" s="106"/>
      <c r="L4" s="107"/>
    </row>
    <row r="5" spans="1:12" x14ac:dyDescent="0.35">
      <c r="A5" s="111" t="str">
        <f ca="1">"Months Saved" &amp; CHAR(10) &amp; ABS('❄️ Snowball Payoff'!$B$5 - '🌊 Avalanche Payoff'!$B$5)</f>
        <v>Months Saved
2</v>
      </c>
      <c r="B5" s="103"/>
      <c r="C5" s="104"/>
      <c r="D5" s="110" t="str">
        <f ca="1">"Interest Saved" &amp; CHAR(10) &amp; TEXT(ROUND(ABS('❄️ Snowball Payoff'!$B$6 - '🌊 Avalanche Payoff'!$B$6), -0.001), "$#,##0")</f>
        <v>Interest Saved
$2,491</v>
      </c>
      <c r="E5" s="103"/>
      <c r="F5" s="104"/>
      <c r="J5" s="85" t="s">
        <v>72</v>
      </c>
      <c r="K5" s="85" t="s">
        <v>73</v>
      </c>
    </row>
    <row r="6" spans="1:12" ht="20.5" customHeight="1" x14ac:dyDescent="0.35">
      <c r="A6" s="105"/>
      <c r="B6" s="106"/>
      <c r="C6" s="107"/>
      <c r="D6" s="105"/>
      <c r="E6" s="106"/>
      <c r="F6" s="107"/>
      <c r="J6" s="85" t="s">
        <v>74</v>
      </c>
      <c r="K6" s="86">
        <f ca="1">'❄️ Snowball Payoff'!B6</f>
        <v>31418.020000000008</v>
      </c>
    </row>
    <row r="7" spans="1:12" ht="2.5" customHeight="1" x14ac:dyDescent="0.35">
      <c r="J7" s="85" t="s">
        <v>75</v>
      </c>
      <c r="K7" s="86">
        <f>'🌊 Avalanche Payoff'!B6</f>
        <v>28926.920000000002</v>
      </c>
    </row>
    <row r="8" spans="1:12" ht="26.5" customHeight="1" x14ac:dyDescent="0.55000000000000004">
      <c r="A8" s="100" t="str">
        <f ca="1">IF('🌊 Avalanche Payoff'!$B$6 &lt; '❄️ Snowball Payoff'!$B$6, "✅ Recommendation: Avalanche saves $" &amp; TEXT('❄️ Snowball Payoff'!$B$6 - '🌊 Avalanche Payoff'!$B$6, "#,##0.00") &amp; " in interest and " &amp; ABS('❄️ Snowball Payoff'!$B$5 - '🌊 Avalanche Payoff'!$B$5) &amp; " months.", IF('🌊 Avalanche Payoff'!$B$6 &gt; '❄️ Snowball Payoff'!$B$6, "✅ Recommendation: Snowball saves $" &amp; TEXT('🌊 Avalanche Payoff'!$B$6 - '❄️ Snowball Payoff'!$B$6, "#,##0.00") &amp; " in interest and " &amp; ABS('❄️ Snowball Payoff'!$B$5 - '🌊 Avalanche Payoff'!$B$5) &amp; " months.", "✅ Recommendation: Snowball and Avalanche are tied on interest and months."))</f>
        <v>✅ Recommendation: Avalanche saves $2,491.10 in interest and 2 months.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1:12" ht="26" x14ac:dyDescent="0.35">
      <c r="A9" s="77" t="s">
        <v>76</v>
      </c>
      <c r="B9" s="74" t="s">
        <v>77</v>
      </c>
      <c r="C9" s="36" t="s">
        <v>78</v>
      </c>
    </row>
    <row r="10" spans="1:12" x14ac:dyDescent="0.35">
      <c r="A10" s="78">
        <v>1</v>
      </c>
      <c r="B10" s="75">
        <f ca="1">INDEX('❄️ Snowball Payoff'!$K$9:$K$72,A10)</f>
        <v>30722.5</v>
      </c>
      <c r="C10" s="37">
        <f>INDEX('🌊 Avalanche Payoff'!$K$9:$K$72,A10)</f>
        <v>30898</v>
      </c>
    </row>
    <row r="11" spans="1:12" x14ac:dyDescent="0.35">
      <c r="A11" s="78">
        <v>2</v>
      </c>
      <c r="B11" s="75">
        <f ca="1">INDEX('❄️ Snowball Payoff'!$K$9:$K$72,A11)</f>
        <v>30442.02</v>
      </c>
      <c r="C11" s="37">
        <f>INDEX('🌊 Avalanche Payoff'!$K$9:$K$72,A11)</f>
        <v>30592.959999999995</v>
      </c>
    </row>
    <row r="12" spans="1:12" x14ac:dyDescent="0.35">
      <c r="A12" s="78">
        <v>3</v>
      </c>
      <c r="B12" s="75">
        <f ca="1">INDEX('❄️ Snowball Payoff'!$K$9:$K$72,A12)</f>
        <v>30158.5</v>
      </c>
      <c r="C12" s="37">
        <f>INDEX('🌊 Avalanche Payoff'!$K$9:$K$72,A12)</f>
        <v>30284.82</v>
      </c>
    </row>
    <row r="13" spans="1:12" x14ac:dyDescent="0.35">
      <c r="A13" s="78">
        <v>4</v>
      </c>
      <c r="B13" s="75">
        <f ca="1">INDEX('❄️ Snowball Payoff'!$K$9:$K$72,A13)</f>
        <v>29871.919999999998</v>
      </c>
      <c r="C13" s="37">
        <f>INDEX('🌊 Avalanche Payoff'!$K$9:$K$72,A13)</f>
        <v>29973.56</v>
      </c>
    </row>
    <row r="14" spans="1:12" x14ac:dyDescent="0.35">
      <c r="A14" s="78">
        <v>5</v>
      </c>
      <c r="B14" s="75">
        <f ca="1">INDEX('❄️ Snowball Payoff'!$K$9:$K$72,A14)</f>
        <v>29582.25</v>
      </c>
      <c r="C14" s="37">
        <f>INDEX('🌊 Avalanche Payoff'!$K$9:$K$72,A14)</f>
        <v>29659.14</v>
      </c>
    </row>
    <row r="15" spans="1:12" x14ac:dyDescent="0.35">
      <c r="A15" s="78">
        <v>6</v>
      </c>
      <c r="B15" s="75">
        <f ca="1">INDEX('❄️ Snowball Payoff'!$K$9:$K$72,A15)</f>
        <v>29289.440000000002</v>
      </c>
      <c r="C15" s="37">
        <f>INDEX('🌊 Avalanche Payoff'!$K$9:$K$72,A15)</f>
        <v>29341.520000000004</v>
      </c>
    </row>
    <row r="16" spans="1:12" x14ac:dyDescent="0.35">
      <c r="A16" s="78">
        <v>7</v>
      </c>
      <c r="B16" s="75">
        <f ca="1">INDEX('❄️ Snowball Payoff'!$K$9:$K$72,A16)</f>
        <v>28993.45</v>
      </c>
      <c r="C16" s="37">
        <f>INDEX('🌊 Avalanche Payoff'!$K$9:$K$72,A16)</f>
        <v>29020.66</v>
      </c>
    </row>
    <row r="17" spans="1:3" x14ac:dyDescent="0.35">
      <c r="A17" s="78">
        <v>8</v>
      </c>
      <c r="B17" s="75">
        <f ca="1">INDEX('❄️ Snowball Payoff'!$K$9:$K$72,A17)</f>
        <v>28694.239999999998</v>
      </c>
      <c r="C17" s="37">
        <f>INDEX('🌊 Avalanche Payoff'!$K$9:$K$72,A17)</f>
        <v>28696.52</v>
      </c>
    </row>
    <row r="18" spans="1:3" ht="17.149999999999999" customHeight="1" x14ac:dyDescent="0.35">
      <c r="A18" s="78">
        <v>9</v>
      </c>
      <c r="B18" s="75">
        <f ca="1">INDEX('❄️ Snowball Payoff'!$K$9:$K$72,A18)</f>
        <v>28391.760000000002</v>
      </c>
      <c r="C18" s="37">
        <f>INDEX('🌊 Avalanche Payoff'!$K$9:$K$72,A18)</f>
        <v>28369.05</v>
      </c>
    </row>
    <row r="19" spans="1:3" x14ac:dyDescent="0.35">
      <c r="A19" s="78">
        <v>10</v>
      </c>
      <c r="B19" s="75">
        <f ca="1">INDEX('❄️ Snowball Payoff'!$K$9:$K$72,A19)</f>
        <v>28085.98</v>
      </c>
      <c r="C19" s="37">
        <f>INDEX('🌊 Avalanche Payoff'!$K$9:$K$72,A19)</f>
        <v>28037.59</v>
      </c>
    </row>
    <row r="20" spans="1:3" x14ac:dyDescent="0.35">
      <c r="A20" s="78">
        <v>11</v>
      </c>
      <c r="B20" s="75">
        <f ca="1">INDEX('❄️ Snowball Payoff'!$K$9:$K$72,A20)</f>
        <v>27776.86</v>
      </c>
      <c r="C20" s="37">
        <f>INDEX('🌊 Avalanche Payoff'!$K$9:$K$72,A20)</f>
        <v>27702.02</v>
      </c>
    </row>
    <row r="21" spans="1:3" x14ac:dyDescent="0.35">
      <c r="A21" s="78">
        <v>12</v>
      </c>
      <c r="B21" s="75">
        <f ca="1">INDEX('❄️ Snowball Payoff'!$K$9:$K$72,A21)</f>
        <v>27464.36</v>
      </c>
      <c r="C21" s="37">
        <f>INDEX('🌊 Avalanche Payoff'!$K$9:$K$72,A21)</f>
        <v>27362.270000000004</v>
      </c>
    </row>
    <row r="22" spans="1:3" x14ac:dyDescent="0.35">
      <c r="A22" s="78">
        <v>13</v>
      </c>
      <c r="B22" s="75">
        <f ca="1">INDEX('❄️ Snowball Payoff'!$K$9:$K$72,A22)</f>
        <v>27148.43</v>
      </c>
      <c r="C22" s="37">
        <f>INDEX('🌊 Avalanche Payoff'!$K$9:$K$72,A22)</f>
        <v>27018.28</v>
      </c>
    </row>
    <row r="23" spans="1:3" x14ac:dyDescent="0.35">
      <c r="A23" s="78">
        <v>14</v>
      </c>
      <c r="B23" s="75">
        <f ca="1">INDEX('❄️ Snowball Payoff'!$K$9:$K$72,A23)</f>
        <v>26829.02</v>
      </c>
      <c r="C23" s="37">
        <f>INDEX('🌊 Avalanche Payoff'!$K$9:$K$72,A23)</f>
        <v>26669.969999999998</v>
      </c>
    </row>
    <row r="24" spans="1:3" x14ac:dyDescent="0.35">
      <c r="A24" s="78">
        <v>15</v>
      </c>
      <c r="B24" s="75">
        <f ca="1">INDEX('❄️ Snowball Payoff'!$K$9:$K$72,A24)</f>
        <v>26506.09</v>
      </c>
      <c r="C24" s="37">
        <f>INDEX('🌊 Avalanche Payoff'!$K$9:$K$72,A24)</f>
        <v>26317.27</v>
      </c>
    </row>
    <row r="25" spans="1:3" x14ac:dyDescent="0.35">
      <c r="A25" s="78">
        <v>16</v>
      </c>
      <c r="B25" s="75">
        <f ca="1">INDEX('❄️ Snowball Payoff'!$K$9:$K$72,A25)</f>
        <v>26179.599999999999</v>
      </c>
      <c r="C25" s="37">
        <f>INDEX('🌊 Avalanche Payoff'!$K$9:$K$72,A25)</f>
        <v>25960.12</v>
      </c>
    </row>
    <row r="26" spans="1:3" x14ac:dyDescent="0.35">
      <c r="A26" s="78">
        <v>17</v>
      </c>
      <c r="B26" s="75">
        <f ca="1">INDEX('❄️ Snowball Payoff'!$K$9:$K$72,A26)</f>
        <v>25849.510000000002</v>
      </c>
      <c r="C26" s="37">
        <f>INDEX('🌊 Avalanche Payoff'!$K$9:$K$72,A26)</f>
        <v>25598.45</v>
      </c>
    </row>
    <row r="27" spans="1:3" x14ac:dyDescent="0.35">
      <c r="A27" s="78">
        <v>18</v>
      </c>
      <c r="B27" s="75">
        <f ca="1">INDEX('❄️ Snowball Payoff'!$K$9:$K$72,A27)</f>
        <v>25515.760000000002</v>
      </c>
      <c r="C27" s="37">
        <f>INDEX('🌊 Avalanche Payoff'!$K$9:$K$72,A27)</f>
        <v>25232.17</v>
      </c>
    </row>
    <row r="28" spans="1:3" x14ac:dyDescent="0.35">
      <c r="A28" s="78">
        <v>19</v>
      </c>
      <c r="B28" s="75">
        <f ca="1">INDEX('❄️ Snowball Payoff'!$K$9:$K$72,A28)</f>
        <v>25178.32</v>
      </c>
      <c r="C28" s="37">
        <f>INDEX('🌊 Avalanche Payoff'!$K$9:$K$72,A28)</f>
        <v>24861.22</v>
      </c>
    </row>
    <row r="29" spans="1:3" x14ac:dyDescent="0.35">
      <c r="A29" s="78">
        <v>20</v>
      </c>
      <c r="B29" s="75">
        <f ca="1">INDEX('❄️ Snowball Payoff'!$K$9:$K$72,A29)</f>
        <v>24837.119999999999</v>
      </c>
      <c r="C29" s="37">
        <f>INDEX('🌊 Avalanche Payoff'!$K$9:$K$72,A29)</f>
        <v>24485.51</v>
      </c>
    </row>
    <row r="30" spans="1:3" x14ac:dyDescent="0.35">
      <c r="A30" s="78">
        <v>21</v>
      </c>
      <c r="B30" s="75">
        <f ca="1">INDEX('❄️ Snowball Payoff'!$K$9:$K$72,A30)</f>
        <v>24492.129999999997</v>
      </c>
      <c r="C30" s="37">
        <f>INDEX('🌊 Avalanche Payoff'!$K$9:$K$72,A30)</f>
        <v>24104.969999999998</v>
      </c>
    </row>
    <row r="31" spans="1:3" x14ac:dyDescent="0.35">
      <c r="A31" s="78">
        <v>22</v>
      </c>
      <c r="B31" s="75">
        <f ca="1">INDEX('❄️ Snowball Payoff'!$K$9:$K$72,A31)</f>
        <v>24143.29</v>
      </c>
      <c r="C31" s="37">
        <f>INDEX('🌊 Avalanche Payoff'!$K$9:$K$72,A31)</f>
        <v>23719.350000000002</v>
      </c>
    </row>
    <row r="32" spans="1:3" x14ac:dyDescent="0.35">
      <c r="A32" s="78">
        <v>23</v>
      </c>
      <c r="B32" s="75">
        <f ca="1">INDEX('❄️ Snowball Payoff'!$K$9:$K$72,A32)</f>
        <v>23790.510000000002</v>
      </c>
      <c r="C32" s="37">
        <f>INDEX('🌊 Avalanche Payoff'!$K$9:$K$72,A32)</f>
        <v>23328.06</v>
      </c>
    </row>
    <row r="33" spans="1:3" x14ac:dyDescent="0.35">
      <c r="A33" s="78">
        <v>24</v>
      </c>
      <c r="B33" s="75">
        <f ca="1">INDEX('❄️ Snowball Payoff'!$K$9:$K$72,A33)</f>
        <v>23433.760000000002</v>
      </c>
      <c r="C33" s="37">
        <f>INDEX('🌊 Avalanche Payoff'!$K$9:$K$72,A33)</f>
        <v>22931.01</v>
      </c>
    </row>
    <row r="34" spans="1:3" x14ac:dyDescent="0.35">
      <c r="A34" s="78">
        <v>25</v>
      </c>
      <c r="B34" s="75">
        <f ca="1">INDEX('❄️ Snowball Payoff'!$K$9:$K$72,A34)</f>
        <v>23072.97</v>
      </c>
      <c r="C34" s="37">
        <f>INDEX('🌊 Avalanche Payoff'!$K$9:$K$72,A34)</f>
        <v>22528.080000000002</v>
      </c>
    </row>
    <row r="35" spans="1:3" x14ac:dyDescent="0.35">
      <c r="A35" s="78">
        <v>26</v>
      </c>
      <c r="B35" s="75">
        <f ca="1">INDEX('❄️ Snowball Payoff'!$K$9:$K$72,A35)</f>
        <v>22708.09</v>
      </c>
      <c r="C35" s="37">
        <f>INDEX('🌊 Avalanche Payoff'!$K$9:$K$72,A35)</f>
        <v>22119.16</v>
      </c>
    </row>
    <row r="36" spans="1:3" x14ac:dyDescent="0.35">
      <c r="A36" s="78">
        <v>27</v>
      </c>
      <c r="B36" s="75">
        <f ca="1">INDEX('❄️ Snowball Payoff'!$K$9:$K$72,A36)</f>
        <v>22339.06</v>
      </c>
      <c r="C36" s="37">
        <f>INDEX('🌊 Avalanche Payoff'!$K$9:$K$72,A36)</f>
        <v>21704.14</v>
      </c>
    </row>
    <row r="37" spans="1:3" x14ac:dyDescent="0.35">
      <c r="A37" s="78">
        <v>28</v>
      </c>
      <c r="B37" s="75">
        <f ca="1">INDEX('❄️ Snowball Payoff'!$K$9:$K$72,A37)</f>
        <v>21965.85</v>
      </c>
      <c r="C37" s="37">
        <f>INDEX('🌊 Avalanche Payoff'!$K$9:$K$72,A37)</f>
        <v>21282.92</v>
      </c>
    </row>
    <row r="38" spans="1:3" x14ac:dyDescent="0.35">
      <c r="A38" s="78">
        <v>29</v>
      </c>
      <c r="B38" s="75">
        <f ca="1">INDEX('❄️ Snowball Payoff'!$K$9:$K$72,A38)</f>
        <v>21588.400000000001</v>
      </c>
      <c r="C38" s="37">
        <f>INDEX('🌊 Avalanche Payoff'!$K$9:$K$72,A38)</f>
        <v>20855.37</v>
      </c>
    </row>
    <row r="39" spans="1:3" x14ac:dyDescent="0.35">
      <c r="A39" s="78">
        <v>30</v>
      </c>
      <c r="B39" s="75">
        <f ca="1">INDEX('❄️ Snowball Payoff'!$K$9:$K$72,A39)</f>
        <v>21206.639999999999</v>
      </c>
      <c r="C39" s="37">
        <f>INDEX('🌊 Avalanche Payoff'!$K$9:$K$72,A39)</f>
        <v>20421.359999999997</v>
      </c>
    </row>
    <row r="40" spans="1:3" x14ac:dyDescent="0.35">
      <c r="A40" s="78">
        <v>31</v>
      </c>
      <c r="B40" s="75">
        <f ca="1">INDEX('❄️ Snowball Payoff'!$K$9:$K$72,A40)</f>
        <v>20820.52</v>
      </c>
      <c r="C40" s="37">
        <f>INDEX('🌊 Avalanche Payoff'!$K$9:$K$72,A40)</f>
        <v>19980.769999999997</v>
      </c>
    </row>
    <row r="41" spans="1:3" x14ac:dyDescent="0.35">
      <c r="A41" s="78">
        <v>32</v>
      </c>
      <c r="B41" s="75">
        <f ca="1">INDEX('❄️ Snowball Payoff'!$K$9:$K$72,A41)</f>
        <v>20430</v>
      </c>
      <c r="C41" s="37">
        <f>INDEX('🌊 Avalanche Payoff'!$K$9:$K$72,A41)</f>
        <v>19533.500000000004</v>
      </c>
    </row>
    <row r="42" spans="1:3" x14ac:dyDescent="0.35">
      <c r="A42" s="78">
        <v>33</v>
      </c>
      <c r="B42" s="75">
        <f ca="1">INDEX('❄️ Snowball Payoff'!$K$9:$K$72,A42)</f>
        <v>20035.009999999998</v>
      </c>
      <c r="C42" s="37">
        <f>INDEX('🌊 Avalanche Payoff'!$K$9:$K$72,A42)</f>
        <v>19079.39</v>
      </c>
    </row>
    <row r="43" spans="1:3" x14ac:dyDescent="0.35">
      <c r="A43" s="78">
        <v>34</v>
      </c>
      <c r="B43" s="75">
        <f ca="1">INDEX('❄️ Snowball Payoff'!$K$9:$K$72,A43)</f>
        <v>19635.5</v>
      </c>
      <c r="C43" s="37">
        <f>INDEX('🌊 Avalanche Payoff'!$K$9:$K$72,A43)</f>
        <v>18618.330000000002</v>
      </c>
    </row>
    <row r="44" spans="1:3" x14ac:dyDescent="0.35">
      <c r="A44" s="78">
        <v>35</v>
      </c>
      <c r="B44" s="75">
        <f ca="1">INDEX('❄️ Snowball Payoff'!$K$9:$K$72,A44)</f>
        <v>19231.260000000002</v>
      </c>
      <c r="C44" s="37">
        <f>INDEX('🌊 Avalanche Payoff'!$K$9:$K$72,A44)</f>
        <v>18150.159999999996</v>
      </c>
    </row>
    <row r="45" spans="1:3" x14ac:dyDescent="0.35">
      <c r="A45" s="78">
        <v>36</v>
      </c>
      <c r="B45" s="75">
        <f ca="1">INDEX('❄️ Snowball Payoff'!$K$9:$K$72,A45)</f>
        <v>18822.16</v>
      </c>
      <c r="C45" s="37">
        <f>INDEX('🌊 Avalanche Payoff'!$K$9:$K$72,A45)</f>
        <v>17674.759999999998</v>
      </c>
    </row>
    <row r="46" spans="1:3" x14ac:dyDescent="0.35">
      <c r="A46" s="78">
        <v>37</v>
      </c>
      <c r="B46" s="75">
        <f ca="1">INDEX('❄️ Snowball Payoff'!$K$9:$K$72,A46)</f>
        <v>18408.13</v>
      </c>
      <c r="C46" s="37">
        <f>INDEX('🌊 Avalanche Payoff'!$K$9:$K$72,A46)</f>
        <v>17192</v>
      </c>
    </row>
    <row r="47" spans="1:3" x14ac:dyDescent="0.35">
      <c r="A47" s="78">
        <v>38</v>
      </c>
      <c r="B47" s="75">
        <f ca="1">INDEX('❄️ Snowball Payoff'!$K$9:$K$72,A47)</f>
        <v>17989.12</v>
      </c>
      <c r="C47" s="37">
        <f>INDEX('🌊 Avalanche Payoff'!$K$9:$K$72,A47)</f>
        <v>16701.71</v>
      </c>
    </row>
    <row r="48" spans="1:3" x14ac:dyDescent="0.35">
      <c r="A48" s="78">
        <v>39</v>
      </c>
      <c r="B48" s="75">
        <f ca="1">INDEX('❄️ Snowball Payoff'!$K$9:$K$72,A48)</f>
        <v>17563.96</v>
      </c>
      <c r="C48" s="37">
        <f>INDEX('🌊 Avalanche Payoff'!$K$9:$K$72,A48)</f>
        <v>16203.75</v>
      </c>
    </row>
    <row r="49" spans="1:3" x14ac:dyDescent="0.35">
      <c r="A49" s="78">
        <v>40</v>
      </c>
      <c r="B49" s="75">
        <f ca="1">INDEX('❄️ Snowball Payoff'!$K$9:$K$72,A49)</f>
        <v>17132.419999999998</v>
      </c>
      <c r="C49" s="37">
        <f>INDEX('🌊 Avalanche Payoff'!$K$9:$K$72,A49)</f>
        <v>15697.98</v>
      </c>
    </row>
    <row r="50" spans="1:3" x14ac:dyDescent="0.35">
      <c r="A50" s="78">
        <v>41</v>
      </c>
      <c r="B50" s="75">
        <f ca="1">INDEX('❄️ Snowball Payoff'!$K$9:$K$72,A50)</f>
        <v>16694.41</v>
      </c>
      <c r="C50" s="37">
        <f>INDEX('🌊 Avalanche Payoff'!$K$9:$K$72,A50)</f>
        <v>15182.19</v>
      </c>
    </row>
    <row r="51" spans="1:3" x14ac:dyDescent="0.35">
      <c r="A51" s="78">
        <v>42</v>
      </c>
      <c r="B51" s="75">
        <f ca="1">INDEX('❄️ Snowball Payoff'!$K$9:$K$72,A51)</f>
        <v>16249.83</v>
      </c>
      <c r="C51" s="37">
        <f>INDEX('🌊 Avalanche Payoff'!$K$9:$K$72,A51)</f>
        <v>14655.59</v>
      </c>
    </row>
    <row r="52" spans="1:3" x14ac:dyDescent="0.35">
      <c r="A52" s="78">
        <v>43</v>
      </c>
      <c r="B52" s="75">
        <f ca="1">INDEX('❄️ Snowball Payoff'!$K$9:$K$72,A52)</f>
        <v>15798.58</v>
      </c>
      <c r="C52" s="37">
        <f>INDEX('🌊 Avalanche Payoff'!$K$9:$K$72,A52)</f>
        <v>14117.560000000001</v>
      </c>
    </row>
    <row r="53" spans="1:3" x14ac:dyDescent="0.35">
      <c r="A53" s="78">
        <v>44</v>
      </c>
      <c r="B53" s="75">
        <f ca="1">INDEX('❄️ Snowball Payoff'!$K$9:$K$72,A53)</f>
        <v>15337.54</v>
      </c>
      <c r="C53" s="37">
        <f>INDEX('🌊 Avalanche Payoff'!$K$9:$K$72,A53)</f>
        <v>13567.16</v>
      </c>
    </row>
    <row r="54" spans="1:3" x14ac:dyDescent="0.35">
      <c r="A54" s="78">
        <v>45</v>
      </c>
      <c r="B54" s="75">
        <f ca="1">INDEX('❄️ Snowball Payoff'!$K$9:$K$72,A54)</f>
        <v>14862.67</v>
      </c>
      <c r="C54" s="37">
        <f>INDEX('🌊 Avalanche Payoff'!$K$9:$K$72,A54)</f>
        <v>13004.09</v>
      </c>
    </row>
    <row r="55" spans="1:3" x14ac:dyDescent="0.35">
      <c r="A55" s="78">
        <v>46</v>
      </c>
      <c r="B55" s="75">
        <f ca="1">INDEX('❄️ Snowball Payoff'!$K$9:$K$72,A55)</f>
        <v>14373.55</v>
      </c>
      <c r="C55" s="37">
        <f>INDEX('🌊 Avalanche Payoff'!$K$9:$K$72,A55)</f>
        <v>12428.029999999999</v>
      </c>
    </row>
    <row r="56" spans="1:3" x14ac:dyDescent="0.35">
      <c r="A56" s="78">
        <v>47</v>
      </c>
      <c r="B56" s="75">
        <f ca="1">INDEX('❄️ Snowball Payoff'!$K$9:$K$72,A56)</f>
        <v>13869.76</v>
      </c>
      <c r="C56" s="37">
        <f>INDEX('🌊 Avalanche Payoff'!$K$9:$K$72,A56)</f>
        <v>11838.64</v>
      </c>
    </row>
    <row r="57" spans="1:3" x14ac:dyDescent="0.35">
      <c r="A57" s="78">
        <v>48</v>
      </c>
      <c r="B57" s="75">
        <f ca="1">INDEX('❄️ Snowball Payoff'!$K$9:$K$72,A57)</f>
        <v>13350.85</v>
      </c>
      <c r="C57" s="37">
        <f>INDEX('🌊 Avalanche Payoff'!$K$9:$K$72,A57)</f>
        <v>11233.8</v>
      </c>
    </row>
    <row r="58" spans="1:3" x14ac:dyDescent="0.35">
      <c r="A58" s="78">
        <v>49</v>
      </c>
      <c r="B58" s="75">
        <f ca="1">INDEX('❄️ Snowball Payoff'!$K$9:$K$72,A58)</f>
        <v>12816.38</v>
      </c>
      <c r="C58" s="37">
        <f>INDEX('🌊 Avalanche Payoff'!$K$9:$K$72,A58)</f>
        <v>10610.81</v>
      </c>
    </row>
    <row r="59" spans="1:3" x14ac:dyDescent="0.35">
      <c r="A59" s="78">
        <v>50</v>
      </c>
      <c r="B59" s="75">
        <f ca="1">INDEX('❄️ Snowball Payoff'!$K$9:$K$72,A59)</f>
        <v>12265.87</v>
      </c>
      <c r="C59" s="37">
        <f>INDEX('🌊 Avalanche Payoff'!$K$9:$K$72,A59)</f>
        <v>9969.1299999999992</v>
      </c>
    </row>
    <row r="60" spans="1:3" x14ac:dyDescent="0.35">
      <c r="A60" s="78">
        <v>51</v>
      </c>
      <c r="B60" s="75">
        <f ca="1">INDEX('❄️ Snowball Payoff'!$K$9:$K$72,A60)</f>
        <v>11698.85</v>
      </c>
      <c r="C60" s="37">
        <f>INDEX('🌊 Avalanche Payoff'!$K$9:$K$72,A60)</f>
        <v>9308.2000000000007</v>
      </c>
    </row>
    <row r="61" spans="1:3" x14ac:dyDescent="0.35">
      <c r="A61" s="78">
        <v>52</v>
      </c>
      <c r="B61" s="75">
        <f ca="1">INDEX('❄️ Snowball Payoff'!$K$9:$K$72,A61)</f>
        <v>11114.82</v>
      </c>
      <c r="C61" s="37">
        <f>INDEX('🌊 Avalanche Payoff'!$K$9:$K$72,A61)</f>
        <v>8627.4500000000007</v>
      </c>
    </row>
    <row r="62" spans="1:3" x14ac:dyDescent="0.35">
      <c r="A62" s="78">
        <v>53</v>
      </c>
      <c r="B62" s="75">
        <f ca="1">INDEX('❄️ Snowball Payoff'!$K$9:$K$72,A62)</f>
        <v>10513.26</v>
      </c>
      <c r="C62" s="37">
        <f>INDEX('🌊 Avalanche Payoff'!$K$9:$K$72,A62)</f>
        <v>7926.27</v>
      </c>
    </row>
    <row r="63" spans="1:3" x14ac:dyDescent="0.35">
      <c r="A63" s="78">
        <v>54</v>
      </c>
      <c r="B63" s="75">
        <f ca="1">INDEX('❄️ Snowball Payoff'!$K$9:$K$72,A63)</f>
        <v>9893.66</v>
      </c>
      <c r="C63" s="37">
        <f>INDEX('🌊 Avalanche Payoff'!$K$9:$K$72,A63)</f>
        <v>7204.06</v>
      </c>
    </row>
    <row r="64" spans="1:3" x14ac:dyDescent="0.35">
      <c r="A64" s="78">
        <v>55</v>
      </c>
      <c r="B64" s="75">
        <f ca="1">INDEX('❄️ Snowball Payoff'!$K$9:$K$72,A64)</f>
        <v>9255.4699999999993</v>
      </c>
      <c r="C64" s="37">
        <f>INDEX('🌊 Avalanche Payoff'!$K$9:$K$72,A64)</f>
        <v>6460.18</v>
      </c>
    </row>
    <row r="65" spans="1:3" x14ac:dyDescent="0.35">
      <c r="A65" s="78">
        <v>56</v>
      </c>
      <c r="B65" s="75">
        <f ca="1">INDEX('❄️ Snowball Payoff'!$K$9:$K$72,A65)</f>
        <v>8598.1299999999992</v>
      </c>
      <c r="C65" s="37">
        <f>INDEX('🌊 Avalanche Payoff'!$K$9:$K$72,A65)</f>
        <v>5693.99</v>
      </c>
    </row>
    <row r="66" spans="1:3" x14ac:dyDescent="0.35">
      <c r="A66" s="78">
        <v>57</v>
      </c>
      <c r="B66" s="75">
        <f ca="1">INDEX('❄️ Snowball Payoff'!$K$9:$K$72,A66)</f>
        <v>7921.07</v>
      </c>
      <c r="C66" s="37">
        <f>INDEX('🌊 Avalanche Payoff'!$K$9:$K$72,A66)</f>
        <v>4904.8100000000004</v>
      </c>
    </row>
    <row r="67" spans="1:3" x14ac:dyDescent="0.35">
      <c r="A67" s="78">
        <v>58</v>
      </c>
      <c r="B67" s="75">
        <f ca="1">INDEX('❄️ Snowball Payoff'!$K$9:$K$72,A67)</f>
        <v>7223.7</v>
      </c>
      <c r="C67" s="37">
        <f>INDEX('🌊 Avalanche Payoff'!$K$9:$K$72,A67)</f>
        <v>4091.95</v>
      </c>
    </row>
    <row r="68" spans="1:3" x14ac:dyDescent="0.35">
      <c r="A68" s="78">
        <v>59</v>
      </c>
      <c r="B68" s="75">
        <f ca="1">INDEX('❄️ Snowball Payoff'!$K$9:$K$72,A68)</f>
        <v>6505.41</v>
      </c>
      <c r="C68" s="37">
        <f>INDEX('🌊 Avalanche Payoff'!$K$9:$K$72,A68)</f>
        <v>3254.71</v>
      </c>
    </row>
    <row r="69" spans="1:3" x14ac:dyDescent="0.35">
      <c r="A69" s="78">
        <v>60</v>
      </c>
      <c r="B69" s="75">
        <f ca="1">INDEX('❄️ Snowball Payoff'!$K$9:$K$72,A69)</f>
        <v>5765.57</v>
      </c>
      <c r="C69" s="37">
        <f>INDEX('🌊 Avalanche Payoff'!$K$9:$K$72,A69)</f>
        <v>2392.35</v>
      </c>
    </row>
    <row r="70" spans="1:3" x14ac:dyDescent="0.35">
      <c r="A70" s="78">
        <v>61</v>
      </c>
      <c r="B70" s="75">
        <f ca="1">INDEX('❄️ Snowball Payoff'!$K$9:$K$72,A70)</f>
        <v>5003.54</v>
      </c>
      <c r="C70" s="37">
        <f>INDEX('🌊 Avalanche Payoff'!$K$9:$K$72,A70)</f>
        <v>1504.12</v>
      </c>
    </row>
    <row r="71" spans="1:3" x14ac:dyDescent="0.35">
      <c r="A71" s="78">
        <v>62</v>
      </c>
      <c r="B71" s="75">
        <f ca="1">INDEX('❄️ Snowball Payoff'!$K$9:$K$72,A71)</f>
        <v>4218.6499999999996</v>
      </c>
      <c r="C71" s="37">
        <f>INDEX('🌊 Avalanche Payoff'!$K$9:$K$72,A71)</f>
        <v>589.24</v>
      </c>
    </row>
    <row r="72" spans="1:3" x14ac:dyDescent="0.35">
      <c r="A72" s="78">
        <v>63</v>
      </c>
      <c r="B72" s="75">
        <f ca="1">INDEX('❄️ Snowball Payoff'!$K$9:$K$72,A72)</f>
        <v>3410.21</v>
      </c>
      <c r="C72" s="37">
        <f>INDEX('🌊 Avalanche Payoff'!$K$9:$K$72,A72)</f>
        <v>0</v>
      </c>
    </row>
    <row r="73" spans="1:3" x14ac:dyDescent="0.35">
      <c r="A73" s="78">
        <v>64</v>
      </c>
      <c r="B73" s="75">
        <f ca="1">INDEX('❄️ Snowball Payoff'!$K$9:$K$72,A73)</f>
        <v>2552.52</v>
      </c>
      <c r="C73" s="37">
        <f>INDEX('🌊 Avalanche Payoff'!$K$9:$K$72,A73)</f>
        <v>0</v>
      </c>
    </row>
    <row r="83" spans="1:1" x14ac:dyDescent="0.35">
      <c r="A83" s="76"/>
    </row>
    <row r="85" spans="1:1" x14ac:dyDescent="0.35">
      <c r="A85" s="76"/>
    </row>
    <row r="86" spans="1:1" x14ac:dyDescent="0.35">
      <c r="A86" s="76"/>
    </row>
    <row r="87" spans="1:1" x14ac:dyDescent="0.35">
      <c r="A87" s="76"/>
    </row>
    <row r="88" spans="1:1" x14ac:dyDescent="0.35">
      <c r="A88" s="76"/>
    </row>
    <row r="89" spans="1:1" x14ac:dyDescent="0.35">
      <c r="A89" s="76"/>
    </row>
    <row r="90" spans="1:1" x14ac:dyDescent="0.35">
      <c r="A90" s="76"/>
    </row>
    <row r="91" spans="1:1" x14ac:dyDescent="0.35">
      <c r="A91" s="76"/>
    </row>
    <row r="92" spans="1:1" x14ac:dyDescent="0.35">
      <c r="A92" s="76"/>
    </row>
    <row r="93" spans="1:1" x14ac:dyDescent="0.35">
      <c r="A93" s="76"/>
    </row>
    <row r="94" spans="1:1" x14ac:dyDescent="0.35">
      <c r="A94" s="76"/>
    </row>
    <row r="95" spans="1:1" x14ac:dyDescent="0.35">
      <c r="A95" s="76"/>
    </row>
    <row r="96" spans="1:1" x14ac:dyDescent="0.35">
      <c r="A96" s="76"/>
    </row>
    <row r="97" spans="1:1" x14ac:dyDescent="0.35">
      <c r="A97" s="76"/>
    </row>
    <row r="98" spans="1:1" x14ac:dyDescent="0.35">
      <c r="A98" s="76"/>
    </row>
    <row r="99" spans="1:1" x14ac:dyDescent="0.35">
      <c r="A99" s="76"/>
    </row>
    <row r="100" spans="1:1" x14ac:dyDescent="0.35">
      <c r="A100" s="76"/>
    </row>
    <row r="101" spans="1:1" x14ac:dyDescent="0.35">
      <c r="A101" s="76"/>
    </row>
    <row r="102" spans="1:1" x14ac:dyDescent="0.35">
      <c r="A102" s="76"/>
    </row>
    <row r="103" spans="1:1" x14ac:dyDescent="0.35">
      <c r="A103" s="76"/>
    </row>
    <row r="104" spans="1:1" x14ac:dyDescent="0.35">
      <c r="A104" s="76"/>
    </row>
    <row r="105" spans="1:1" x14ac:dyDescent="0.35">
      <c r="A105" s="76"/>
    </row>
    <row r="106" spans="1:1" x14ac:dyDescent="0.35">
      <c r="A106" s="76"/>
    </row>
    <row r="107" spans="1:1" x14ac:dyDescent="0.35">
      <c r="A107" s="76"/>
    </row>
    <row r="108" spans="1:1" x14ac:dyDescent="0.35">
      <c r="A108" s="76"/>
    </row>
    <row r="109" spans="1:1" x14ac:dyDescent="0.35">
      <c r="A109" s="76"/>
    </row>
    <row r="110" spans="1:1" x14ac:dyDescent="0.35">
      <c r="A110" s="76"/>
    </row>
    <row r="111" spans="1:1" x14ac:dyDescent="0.35">
      <c r="A111" s="76"/>
    </row>
    <row r="112" spans="1:1" x14ac:dyDescent="0.35">
      <c r="A112" s="76"/>
    </row>
    <row r="113" spans="1:1" x14ac:dyDescent="0.35">
      <c r="A113" s="76"/>
    </row>
    <row r="114" spans="1:1" x14ac:dyDescent="0.35">
      <c r="A114" s="76"/>
    </row>
    <row r="115" spans="1:1" x14ac:dyDescent="0.35">
      <c r="A115" s="76"/>
    </row>
    <row r="116" spans="1:1" x14ac:dyDescent="0.35">
      <c r="A116" s="76"/>
    </row>
    <row r="117" spans="1:1" x14ac:dyDescent="0.35">
      <c r="A117" s="76"/>
    </row>
    <row r="118" spans="1:1" x14ac:dyDescent="0.35">
      <c r="A118" s="76"/>
    </row>
    <row r="119" spans="1:1" x14ac:dyDescent="0.35">
      <c r="A119" s="76"/>
    </row>
    <row r="120" spans="1:1" x14ac:dyDescent="0.35">
      <c r="A120" s="76"/>
    </row>
    <row r="121" spans="1:1" x14ac:dyDescent="0.35">
      <c r="A121" s="76"/>
    </row>
    <row r="122" spans="1:1" x14ac:dyDescent="0.35">
      <c r="A122" s="76"/>
    </row>
    <row r="123" spans="1:1" x14ac:dyDescent="0.35">
      <c r="A123" s="76"/>
    </row>
    <row r="124" spans="1:1" x14ac:dyDescent="0.35">
      <c r="A124" s="76"/>
    </row>
    <row r="125" spans="1:1" x14ac:dyDescent="0.35">
      <c r="A125" s="76"/>
    </row>
    <row r="126" spans="1:1" x14ac:dyDescent="0.35">
      <c r="A126" s="76"/>
    </row>
    <row r="127" spans="1:1" x14ac:dyDescent="0.35">
      <c r="A127" s="76"/>
    </row>
    <row r="128" spans="1:1" x14ac:dyDescent="0.35">
      <c r="A128" s="76"/>
    </row>
    <row r="129" spans="1:1" x14ac:dyDescent="0.35">
      <c r="A129" s="76"/>
    </row>
    <row r="130" spans="1:1" x14ac:dyDescent="0.35">
      <c r="A130" s="76"/>
    </row>
    <row r="131" spans="1:1" x14ac:dyDescent="0.35">
      <c r="A131" s="76"/>
    </row>
    <row r="132" spans="1:1" x14ac:dyDescent="0.35">
      <c r="A132" s="76"/>
    </row>
    <row r="133" spans="1:1" x14ac:dyDescent="0.35">
      <c r="A133" s="76"/>
    </row>
    <row r="134" spans="1:1" x14ac:dyDescent="0.35">
      <c r="A134" s="76"/>
    </row>
    <row r="135" spans="1:1" x14ac:dyDescent="0.35">
      <c r="A135" s="76"/>
    </row>
    <row r="136" spans="1:1" x14ac:dyDescent="0.35">
      <c r="A136" s="76"/>
    </row>
    <row r="137" spans="1:1" x14ac:dyDescent="0.35">
      <c r="A137" s="76"/>
    </row>
    <row r="138" spans="1:1" x14ac:dyDescent="0.35">
      <c r="A138" s="76"/>
    </row>
    <row r="139" spans="1:1" x14ac:dyDescent="0.35">
      <c r="A139" s="76"/>
    </row>
    <row r="140" spans="1:1" x14ac:dyDescent="0.35">
      <c r="A140" s="76"/>
    </row>
    <row r="141" spans="1:1" x14ac:dyDescent="0.35">
      <c r="A141" s="76"/>
    </row>
    <row r="142" spans="1:1" x14ac:dyDescent="0.35">
      <c r="A142" s="76"/>
    </row>
    <row r="143" spans="1:1" x14ac:dyDescent="0.35">
      <c r="A143" s="76"/>
    </row>
    <row r="144" spans="1:1" x14ac:dyDescent="0.35">
      <c r="A144" s="76"/>
    </row>
    <row r="145" spans="1:1" x14ac:dyDescent="0.35">
      <c r="A145" s="76"/>
    </row>
    <row r="146" spans="1:1" x14ac:dyDescent="0.35">
      <c r="A146" s="76"/>
    </row>
    <row r="147" spans="1:1" x14ac:dyDescent="0.35">
      <c r="A147" s="76"/>
    </row>
    <row r="148" spans="1:1" x14ac:dyDescent="0.35">
      <c r="A148" s="76"/>
    </row>
    <row r="149" spans="1:1" x14ac:dyDescent="0.35">
      <c r="A149" s="76"/>
    </row>
    <row r="150" spans="1:1" x14ac:dyDescent="0.35">
      <c r="A150" s="76"/>
    </row>
    <row r="151" spans="1:1" x14ac:dyDescent="0.35">
      <c r="A151" s="76"/>
    </row>
    <row r="152" spans="1:1" x14ac:dyDescent="0.35">
      <c r="A152" s="76"/>
    </row>
    <row r="153" spans="1:1" x14ac:dyDescent="0.35">
      <c r="A153" s="76"/>
    </row>
    <row r="154" spans="1:1" x14ac:dyDescent="0.35">
      <c r="A154" s="76"/>
    </row>
    <row r="155" spans="1:1" x14ac:dyDescent="0.35">
      <c r="A155" s="76"/>
    </row>
    <row r="156" spans="1:1" x14ac:dyDescent="0.35">
      <c r="A156" s="76"/>
    </row>
    <row r="157" spans="1:1" x14ac:dyDescent="0.35">
      <c r="A157" s="76"/>
    </row>
    <row r="158" spans="1:1" x14ac:dyDescent="0.35">
      <c r="A158" s="76"/>
    </row>
    <row r="159" spans="1:1" x14ac:dyDescent="0.35">
      <c r="A159" s="76"/>
    </row>
    <row r="160" spans="1:1" x14ac:dyDescent="0.35">
      <c r="A160" s="76"/>
    </row>
    <row r="161" spans="1:1" x14ac:dyDescent="0.35">
      <c r="A161" s="76"/>
    </row>
    <row r="162" spans="1:1" x14ac:dyDescent="0.35">
      <c r="A162" s="76"/>
    </row>
    <row r="163" spans="1:1" x14ac:dyDescent="0.35">
      <c r="A163" s="76"/>
    </row>
    <row r="164" spans="1:1" x14ac:dyDescent="0.35">
      <c r="A164" s="76"/>
    </row>
    <row r="165" spans="1:1" x14ac:dyDescent="0.35">
      <c r="A165" s="76"/>
    </row>
    <row r="166" spans="1:1" x14ac:dyDescent="0.35">
      <c r="A166" s="76"/>
    </row>
    <row r="167" spans="1:1" x14ac:dyDescent="0.35">
      <c r="A167" s="76"/>
    </row>
    <row r="168" spans="1:1" x14ac:dyDescent="0.35">
      <c r="A168" s="76"/>
    </row>
    <row r="169" spans="1:1" x14ac:dyDescent="0.35">
      <c r="A169" s="76"/>
    </row>
    <row r="170" spans="1:1" x14ac:dyDescent="0.35">
      <c r="A170" s="76"/>
    </row>
    <row r="171" spans="1:1" x14ac:dyDescent="0.35">
      <c r="A171" s="76"/>
    </row>
    <row r="172" spans="1:1" x14ac:dyDescent="0.35">
      <c r="A172" s="76"/>
    </row>
    <row r="173" spans="1:1" x14ac:dyDescent="0.35">
      <c r="A173" s="76"/>
    </row>
    <row r="174" spans="1:1" x14ac:dyDescent="0.35">
      <c r="A174" s="76"/>
    </row>
    <row r="175" spans="1:1" x14ac:dyDescent="0.35">
      <c r="A175" s="76"/>
    </row>
    <row r="176" spans="1:1" x14ac:dyDescent="0.35">
      <c r="A176" s="76"/>
    </row>
    <row r="177" spans="1:1" x14ac:dyDescent="0.35">
      <c r="A177" s="76"/>
    </row>
    <row r="178" spans="1:1" x14ac:dyDescent="0.35">
      <c r="A178" s="76"/>
    </row>
    <row r="179" spans="1:1" x14ac:dyDescent="0.35">
      <c r="A179" s="76"/>
    </row>
    <row r="180" spans="1:1" x14ac:dyDescent="0.35">
      <c r="A180" s="76"/>
    </row>
    <row r="181" spans="1:1" x14ac:dyDescent="0.35">
      <c r="A181" s="76"/>
    </row>
    <row r="182" spans="1:1" x14ac:dyDescent="0.35">
      <c r="A182" s="76"/>
    </row>
    <row r="183" spans="1:1" x14ac:dyDescent="0.35">
      <c r="A183" s="76"/>
    </row>
    <row r="184" spans="1:1" x14ac:dyDescent="0.35">
      <c r="A184" s="76"/>
    </row>
    <row r="185" spans="1:1" x14ac:dyDescent="0.35">
      <c r="A185" s="76"/>
    </row>
    <row r="186" spans="1:1" x14ac:dyDescent="0.35">
      <c r="A186" s="76"/>
    </row>
    <row r="187" spans="1:1" x14ac:dyDescent="0.35">
      <c r="A187" s="76"/>
    </row>
    <row r="188" spans="1:1" x14ac:dyDescent="0.35">
      <c r="A188" s="76"/>
    </row>
    <row r="189" spans="1:1" x14ac:dyDescent="0.35">
      <c r="A189" s="76"/>
    </row>
    <row r="190" spans="1:1" x14ac:dyDescent="0.35">
      <c r="A190" s="76"/>
    </row>
    <row r="191" spans="1:1" x14ac:dyDescent="0.35">
      <c r="A191" s="76"/>
    </row>
    <row r="192" spans="1:1" x14ac:dyDescent="0.35">
      <c r="A192" s="76"/>
    </row>
    <row r="193" spans="1:1" x14ac:dyDescent="0.35">
      <c r="A193" s="76"/>
    </row>
    <row r="194" spans="1:1" x14ac:dyDescent="0.35">
      <c r="A194" s="76"/>
    </row>
    <row r="195" spans="1:1" x14ac:dyDescent="0.35">
      <c r="A195" s="76"/>
    </row>
    <row r="196" spans="1:1" x14ac:dyDescent="0.35">
      <c r="A196" s="76"/>
    </row>
    <row r="197" spans="1:1" x14ac:dyDescent="0.35">
      <c r="A197" s="76"/>
    </row>
    <row r="198" spans="1:1" x14ac:dyDescent="0.35">
      <c r="A198" s="76"/>
    </row>
    <row r="199" spans="1:1" x14ac:dyDescent="0.35">
      <c r="A199" s="76"/>
    </row>
    <row r="200" spans="1:1" x14ac:dyDescent="0.35">
      <c r="A200" s="76"/>
    </row>
    <row r="201" spans="1:1" x14ac:dyDescent="0.35">
      <c r="A201" s="76"/>
    </row>
    <row r="202" spans="1:1" x14ac:dyDescent="0.35">
      <c r="A202" s="76"/>
    </row>
    <row r="203" spans="1:1" x14ac:dyDescent="0.35">
      <c r="A203" s="76"/>
    </row>
    <row r="204" spans="1:1" x14ac:dyDescent="0.35">
      <c r="A204" s="76"/>
    </row>
    <row r="205" spans="1:1" x14ac:dyDescent="0.35">
      <c r="A205" s="76"/>
    </row>
    <row r="206" spans="1:1" x14ac:dyDescent="0.35">
      <c r="A206" s="76"/>
    </row>
    <row r="207" spans="1:1" x14ac:dyDescent="0.35">
      <c r="A207" s="76"/>
    </row>
    <row r="208" spans="1:1" x14ac:dyDescent="0.35">
      <c r="A208" s="76"/>
    </row>
    <row r="209" spans="1:1" x14ac:dyDescent="0.35">
      <c r="A209" s="76"/>
    </row>
    <row r="210" spans="1:1" x14ac:dyDescent="0.35">
      <c r="A210" s="76"/>
    </row>
    <row r="211" spans="1:1" x14ac:dyDescent="0.35">
      <c r="A211" s="76"/>
    </row>
    <row r="212" spans="1:1" x14ac:dyDescent="0.35">
      <c r="A212" s="76"/>
    </row>
    <row r="213" spans="1:1" x14ac:dyDescent="0.35">
      <c r="A213" s="76"/>
    </row>
    <row r="214" spans="1:1" x14ac:dyDescent="0.35">
      <c r="A214" s="76"/>
    </row>
    <row r="215" spans="1:1" x14ac:dyDescent="0.35">
      <c r="A215" s="76"/>
    </row>
    <row r="216" spans="1:1" x14ac:dyDescent="0.35">
      <c r="A216" s="76"/>
    </row>
    <row r="217" spans="1:1" x14ac:dyDescent="0.35">
      <c r="A217" s="76"/>
    </row>
    <row r="218" spans="1:1" x14ac:dyDescent="0.35">
      <c r="A218" s="76"/>
    </row>
    <row r="219" spans="1:1" x14ac:dyDescent="0.35">
      <c r="A219" s="76"/>
    </row>
    <row r="220" spans="1:1" x14ac:dyDescent="0.35">
      <c r="A220" s="76"/>
    </row>
    <row r="221" spans="1:1" x14ac:dyDescent="0.35">
      <c r="A221" s="76"/>
    </row>
    <row r="222" spans="1:1" x14ac:dyDescent="0.35">
      <c r="A222" s="76"/>
    </row>
    <row r="223" spans="1:1" x14ac:dyDescent="0.35">
      <c r="A223" s="76"/>
    </row>
    <row r="224" spans="1:1" x14ac:dyDescent="0.35">
      <c r="A224" s="76"/>
    </row>
    <row r="225" spans="1:1" x14ac:dyDescent="0.35">
      <c r="A225" s="76"/>
    </row>
    <row r="226" spans="1:1" x14ac:dyDescent="0.35">
      <c r="A226" s="76"/>
    </row>
    <row r="227" spans="1:1" x14ac:dyDescent="0.35">
      <c r="A227" s="76"/>
    </row>
    <row r="228" spans="1:1" x14ac:dyDescent="0.35">
      <c r="A228" s="76"/>
    </row>
    <row r="229" spans="1:1" x14ac:dyDescent="0.35">
      <c r="A229" s="76"/>
    </row>
    <row r="230" spans="1:1" x14ac:dyDescent="0.35">
      <c r="A230" s="76"/>
    </row>
    <row r="231" spans="1:1" x14ac:dyDescent="0.35">
      <c r="A231" s="76"/>
    </row>
    <row r="232" spans="1:1" x14ac:dyDescent="0.35">
      <c r="A232" s="76"/>
    </row>
    <row r="233" spans="1:1" x14ac:dyDescent="0.35">
      <c r="A233" s="76"/>
    </row>
    <row r="234" spans="1:1" x14ac:dyDescent="0.35">
      <c r="A234" s="76"/>
    </row>
    <row r="235" spans="1:1" x14ac:dyDescent="0.35">
      <c r="A235" s="76"/>
    </row>
    <row r="236" spans="1:1" x14ac:dyDescent="0.35">
      <c r="A236" s="76"/>
    </row>
    <row r="237" spans="1:1" x14ac:dyDescent="0.35">
      <c r="A237" s="76"/>
    </row>
    <row r="238" spans="1:1" x14ac:dyDescent="0.35">
      <c r="A238" s="76"/>
    </row>
    <row r="239" spans="1:1" x14ac:dyDescent="0.35">
      <c r="A239" s="76"/>
    </row>
    <row r="240" spans="1:1" x14ac:dyDescent="0.35">
      <c r="A240" s="76"/>
    </row>
    <row r="241" spans="1:1" x14ac:dyDescent="0.35">
      <c r="A241" s="76"/>
    </row>
    <row r="242" spans="1:1" x14ac:dyDescent="0.35">
      <c r="A242" s="76"/>
    </row>
    <row r="243" spans="1:1" x14ac:dyDescent="0.35">
      <c r="A243" s="76"/>
    </row>
    <row r="244" spans="1:1" x14ac:dyDescent="0.35">
      <c r="A244" s="76"/>
    </row>
    <row r="245" spans="1:1" x14ac:dyDescent="0.35">
      <c r="A245" s="76"/>
    </row>
    <row r="246" spans="1:1" x14ac:dyDescent="0.35">
      <c r="A246" s="76"/>
    </row>
    <row r="247" spans="1:1" x14ac:dyDescent="0.35">
      <c r="A247" s="76"/>
    </row>
    <row r="248" spans="1:1" x14ac:dyDescent="0.35">
      <c r="A248" s="76"/>
    </row>
    <row r="249" spans="1:1" x14ac:dyDescent="0.35">
      <c r="A249" s="76"/>
    </row>
    <row r="250" spans="1:1" x14ac:dyDescent="0.35">
      <c r="A250" s="76"/>
    </row>
    <row r="251" spans="1:1" x14ac:dyDescent="0.35">
      <c r="A251" s="76"/>
    </row>
    <row r="252" spans="1:1" x14ac:dyDescent="0.35">
      <c r="A252" s="76"/>
    </row>
    <row r="253" spans="1:1" x14ac:dyDescent="0.35">
      <c r="A253" s="76"/>
    </row>
    <row r="254" spans="1:1" x14ac:dyDescent="0.35">
      <c r="A254" s="76"/>
    </row>
    <row r="255" spans="1:1" x14ac:dyDescent="0.35">
      <c r="A255" s="76"/>
    </row>
    <row r="256" spans="1:1" x14ac:dyDescent="0.35">
      <c r="A256" s="76"/>
    </row>
    <row r="257" spans="1:1" x14ac:dyDescent="0.35">
      <c r="A257" s="76"/>
    </row>
    <row r="258" spans="1:1" x14ac:dyDescent="0.35">
      <c r="A258" s="76"/>
    </row>
    <row r="259" spans="1:1" x14ac:dyDescent="0.35">
      <c r="A259" s="76"/>
    </row>
    <row r="260" spans="1:1" x14ac:dyDescent="0.35">
      <c r="A260" s="76"/>
    </row>
    <row r="261" spans="1:1" x14ac:dyDescent="0.35">
      <c r="A261" s="76"/>
    </row>
    <row r="262" spans="1:1" x14ac:dyDescent="0.35">
      <c r="A262" s="76"/>
    </row>
    <row r="263" spans="1:1" x14ac:dyDescent="0.35">
      <c r="A263" s="76"/>
    </row>
    <row r="264" spans="1:1" x14ac:dyDescent="0.35">
      <c r="A264" s="76"/>
    </row>
    <row r="265" spans="1:1" x14ac:dyDescent="0.35">
      <c r="A265" s="76"/>
    </row>
    <row r="266" spans="1:1" x14ac:dyDescent="0.35">
      <c r="A266" s="76"/>
    </row>
    <row r="267" spans="1:1" x14ac:dyDescent="0.35">
      <c r="A267" s="76"/>
    </row>
    <row r="268" spans="1:1" x14ac:dyDescent="0.35">
      <c r="A268" s="76"/>
    </row>
    <row r="269" spans="1:1" x14ac:dyDescent="0.35">
      <c r="A269" s="76"/>
    </row>
    <row r="270" spans="1:1" x14ac:dyDescent="0.35">
      <c r="A270" s="76"/>
    </row>
    <row r="271" spans="1:1" x14ac:dyDescent="0.35">
      <c r="A271" s="76"/>
    </row>
    <row r="272" spans="1:1" x14ac:dyDescent="0.35">
      <c r="A272" s="76"/>
    </row>
    <row r="273" spans="1:1" x14ac:dyDescent="0.35">
      <c r="A273" s="76"/>
    </row>
    <row r="274" spans="1:1" x14ac:dyDescent="0.35">
      <c r="A274" s="76"/>
    </row>
    <row r="275" spans="1:1" x14ac:dyDescent="0.35">
      <c r="A275" s="76"/>
    </row>
    <row r="276" spans="1:1" x14ac:dyDescent="0.35">
      <c r="A276" s="76"/>
    </row>
    <row r="277" spans="1:1" x14ac:dyDescent="0.35">
      <c r="A277" s="76"/>
    </row>
    <row r="278" spans="1:1" x14ac:dyDescent="0.35">
      <c r="A278" s="76"/>
    </row>
    <row r="279" spans="1:1" x14ac:dyDescent="0.35">
      <c r="A279" s="76"/>
    </row>
    <row r="280" spans="1:1" x14ac:dyDescent="0.35">
      <c r="A280" s="76"/>
    </row>
    <row r="281" spans="1:1" x14ac:dyDescent="0.35">
      <c r="A281" s="76"/>
    </row>
    <row r="282" spans="1:1" x14ac:dyDescent="0.35">
      <c r="A282" s="76"/>
    </row>
    <row r="283" spans="1:1" x14ac:dyDescent="0.35">
      <c r="A283" s="76"/>
    </row>
    <row r="284" spans="1:1" x14ac:dyDescent="0.35">
      <c r="A284" s="76"/>
    </row>
    <row r="285" spans="1:1" x14ac:dyDescent="0.35">
      <c r="A285" s="76"/>
    </row>
    <row r="286" spans="1:1" x14ac:dyDescent="0.35">
      <c r="A286" s="76"/>
    </row>
    <row r="287" spans="1:1" x14ac:dyDescent="0.35">
      <c r="A287" s="76"/>
    </row>
    <row r="288" spans="1:1" x14ac:dyDescent="0.35">
      <c r="A288" s="76"/>
    </row>
    <row r="289" spans="1:1" x14ac:dyDescent="0.35">
      <c r="A289" s="76"/>
    </row>
    <row r="290" spans="1:1" x14ac:dyDescent="0.35">
      <c r="A290" s="76"/>
    </row>
    <row r="291" spans="1:1" x14ac:dyDescent="0.35">
      <c r="A291" s="76"/>
    </row>
    <row r="292" spans="1:1" x14ac:dyDescent="0.35">
      <c r="A292" s="76"/>
    </row>
    <row r="293" spans="1:1" x14ac:dyDescent="0.35">
      <c r="A293" s="76"/>
    </row>
    <row r="294" spans="1:1" x14ac:dyDescent="0.35">
      <c r="A294" s="76"/>
    </row>
    <row r="295" spans="1:1" x14ac:dyDescent="0.35">
      <c r="A295" s="76"/>
    </row>
    <row r="296" spans="1:1" x14ac:dyDescent="0.35">
      <c r="A296" s="76"/>
    </row>
    <row r="297" spans="1:1" x14ac:dyDescent="0.35">
      <c r="A297" s="76"/>
    </row>
    <row r="298" spans="1:1" x14ac:dyDescent="0.35">
      <c r="A298" s="76"/>
    </row>
    <row r="299" spans="1:1" x14ac:dyDescent="0.35">
      <c r="A299" s="76"/>
    </row>
    <row r="300" spans="1:1" x14ac:dyDescent="0.35">
      <c r="A300" s="76"/>
    </row>
    <row r="301" spans="1:1" x14ac:dyDescent="0.35">
      <c r="A301" s="76"/>
    </row>
    <row r="302" spans="1:1" x14ac:dyDescent="0.35">
      <c r="A302" s="76"/>
    </row>
    <row r="303" spans="1:1" x14ac:dyDescent="0.35">
      <c r="A303" s="76"/>
    </row>
    <row r="304" spans="1:1" x14ac:dyDescent="0.35">
      <c r="A304" s="76"/>
    </row>
    <row r="305" spans="1:1" x14ac:dyDescent="0.35">
      <c r="A305" s="76"/>
    </row>
    <row r="306" spans="1:1" x14ac:dyDescent="0.35">
      <c r="A306" s="76"/>
    </row>
    <row r="307" spans="1:1" x14ac:dyDescent="0.35">
      <c r="A307" s="76"/>
    </row>
    <row r="308" spans="1:1" x14ac:dyDescent="0.35">
      <c r="A308" s="76"/>
    </row>
    <row r="309" spans="1:1" x14ac:dyDescent="0.35">
      <c r="A309" s="76"/>
    </row>
    <row r="310" spans="1:1" x14ac:dyDescent="0.35">
      <c r="A310" s="76"/>
    </row>
    <row r="311" spans="1:1" x14ac:dyDescent="0.35">
      <c r="A311" s="76"/>
    </row>
    <row r="312" spans="1:1" x14ac:dyDescent="0.35">
      <c r="A312" s="76"/>
    </row>
    <row r="313" spans="1:1" x14ac:dyDescent="0.35">
      <c r="A313" s="76"/>
    </row>
    <row r="314" spans="1:1" x14ac:dyDescent="0.35">
      <c r="A314" s="76"/>
    </row>
    <row r="315" spans="1:1" x14ac:dyDescent="0.35">
      <c r="A315" s="76"/>
    </row>
    <row r="316" spans="1:1" x14ac:dyDescent="0.35">
      <c r="A316" s="76"/>
    </row>
    <row r="317" spans="1:1" x14ac:dyDescent="0.35">
      <c r="A317" s="76"/>
    </row>
    <row r="318" spans="1:1" x14ac:dyDescent="0.35">
      <c r="A318" s="76"/>
    </row>
    <row r="319" spans="1:1" x14ac:dyDescent="0.35">
      <c r="A319" s="76"/>
    </row>
    <row r="320" spans="1:1" x14ac:dyDescent="0.35">
      <c r="A320" s="76"/>
    </row>
    <row r="321" spans="1:1" x14ac:dyDescent="0.35">
      <c r="A321" s="76"/>
    </row>
    <row r="322" spans="1:1" x14ac:dyDescent="0.35">
      <c r="A322" s="76"/>
    </row>
    <row r="323" spans="1:1" x14ac:dyDescent="0.35">
      <c r="A323" s="76"/>
    </row>
    <row r="324" spans="1:1" x14ac:dyDescent="0.35">
      <c r="A324" s="76"/>
    </row>
    <row r="325" spans="1:1" x14ac:dyDescent="0.35">
      <c r="A325" s="76"/>
    </row>
    <row r="326" spans="1:1" x14ac:dyDescent="0.35">
      <c r="A326" s="76"/>
    </row>
    <row r="327" spans="1:1" x14ac:dyDescent="0.35">
      <c r="A327" s="76"/>
    </row>
    <row r="328" spans="1:1" x14ac:dyDescent="0.35">
      <c r="A328" s="76"/>
    </row>
    <row r="329" spans="1:1" x14ac:dyDescent="0.35">
      <c r="A329" s="76"/>
    </row>
    <row r="330" spans="1:1" x14ac:dyDescent="0.35">
      <c r="A330" s="76"/>
    </row>
    <row r="331" spans="1:1" x14ac:dyDescent="0.35">
      <c r="A331" s="76"/>
    </row>
    <row r="332" spans="1:1" x14ac:dyDescent="0.35">
      <c r="A332" s="76"/>
    </row>
    <row r="333" spans="1:1" x14ac:dyDescent="0.35">
      <c r="A333" s="76"/>
    </row>
    <row r="334" spans="1:1" x14ac:dyDescent="0.35">
      <c r="A334" s="76"/>
    </row>
    <row r="335" spans="1:1" x14ac:dyDescent="0.35">
      <c r="A335" s="76"/>
    </row>
    <row r="336" spans="1:1" x14ac:dyDescent="0.35">
      <c r="A336" s="76"/>
    </row>
    <row r="337" spans="1:1" x14ac:dyDescent="0.35">
      <c r="A337" s="76"/>
    </row>
    <row r="338" spans="1:1" x14ac:dyDescent="0.35">
      <c r="A338" s="76"/>
    </row>
    <row r="339" spans="1:1" x14ac:dyDescent="0.35">
      <c r="A339" s="76"/>
    </row>
    <row r="340" spans="1:1" x14ac:dyDescent="0.35">
      <c r="A340" s="76"/>
    </row>
    <row r="341" spans="1:1" x14ac:dyDescent="0.35">
      <c r="A341" s="76"/>
    </row>
    <row r="342" spans="1:1" x14ac:dyDescent="0.35">
      <c r="A342" s="76"/>
    </row>
    <row r="343" spans="1:1" x14ac:dyDescent="0.35">
      <c r="A343" s="76"/>
    </row>
    <row r="344" spans="1:1" x14ac:dyDescent="0.35">
      <c r="A344" s="76"/>
    </row>
    <row r="345" spans="1:1" x14ac:dyDescent="0.35">
      <c r="A345" s="76"/>
    </row>
    <row r="346" spans="1:1" x14ac:dyDescent="0.35">
      <c r="A346" s="76"/>
    </row>
    <row r="347" spans="1:1" x14ac:dyDescent="0.35">
      <c r="A347" s="76"/>
    </row>
    <row r="348" spans="1:1" x14ac:dyDescent="0.35">
      <c r="A348" s="76"/>
    </row>
    <row r="349" spans="1:1" x14ac:dyDescent="0.35">
      <c r="A349" s="76"/>
    </row>
    <row r="350" spans="1:1" x14ac:dyDescent="0.35">
      <c r="A350" s="76"/>
    </row>
    <row r="351" spans="1:1" x14ac:dyDescent="0.35">
      <c r="A351" s="76"/>
    </row>
    <row r="352" spans="1:1" x14ac:dyDescent="0.35">
      <c r="A352" s="76"/>
    </row>
    <row r="353" spans="1:1" x14ac:dyDescent="0.35">
      <c r="A353" s="76"/>
    </row>
    <row r="354" spans="1:1" x14ac:dyDescent="0.35">
      <c r="A354" s="76"/>
    </row>
    <row r="355" spans="1:1" x14ac:dyDescent="0.35">
      <c r="A355" s="76"/>
    </row>
    <row r="356" spans="1:1" x14ac:dyDescent="0.35">
      <c r="A356" s="76"/>
    </row>
    <row r="357" spans="1:1" x14ac:dyDescent="0.35">
      <c r="A357" s="76"/>
    </row>
    <row r="358" spans="1:1" x14ac:dyDescent="0.35">
      <c r="A358" s="76"/>
    </row>
    <row r="359" spans="1:1" x14ac:dyDescent="0.35">
      <c r="A359" s="76"/>
    </row>
    <row r="360" spans="1:1" x14ac:dyDescent="0.35">
      <c r="A360" s="76"/>
    </row>
    <row r="361" spans="1:1" x14ac:dyDescent="0.35">
      <c r="A361" s="76"/>
    </row>
    <row r="362" spans="1:1" x14ac:dyDescent="0.35">
      <c r="A362" s="76"/>
    </row>
    <row r="363" spans="1:1" x14ac:dyDescent="0.35">
      <c r="A363" s="76"/>
    </row>
    <row r="364" spans="1:1" x14ac:dyDescent="0.35">
      <c r="A364" s="76"/>
    </row>
    <row r="365" spans="1:1" x14ac:dyDescent="0.35">
      <c r="A365" s="76"/>
    </row>
    <row r="366" spans="1:1" x14ac:dyDescent="0.35">
      <c r="A366" s="76"/>
    </row>
    <row r="367" spans="1:1" x14ac:dyDescent="0.35">
      <c r="A367" s="76"/>
    </row>
    <row r="368" spans="1:1" x14ac:dyDescent="0.35">
      <c r="A368" s="76"/>
    </row>
    <row r="369" spans="1:1" x14ac:dyDescent="0.35">
      <c r="A369" s="76"/>
    </row>
    <row r="370" spans="1:1" x14ac:dyDescent="0.35">
      <c r="A370" s="76"/>
    </row>
    <row r="371" spans="1:1" x14ac:dyDescent="0.35">
      <c r="A371" s="76"/>
    </row>
    <row r="372" spans="1:1" x14ac:dyDescent="0.35">
      <c r="A372" s="76"/>
    </row>
    <row r="373" spans="1:1" x14ac:dyDescent="0.35">
      <c r="A373" s="76"/>
    </row>
    <row r="374" spans="1:1" x14ac:dyDescent="0.35">
      <c r="A374" s="76"/>
    </row>
    <row r="375" spans="1:1" x14ac:dyDescent="0.35">
      <c r="A375" s="76"/>
    </row>
    <row r="376" spans="1:1" x14ac:dyDescent="0.35">
      <c r="A376" s="76"/>
    </row>
    <row r="377" spans="1:1" x14ac:dyDescent="0.35">
      <c r="A377" s="76"/>
    </row>
    <row r="378" spans="1:1" x14ac:dyDescent="0.35">
      <c r="A378" s="76"/>
    </row>
    <row r="379" spans="1:1" x14ac:dyDescent="0.35">
      <c r="A379" s="76"/>
    </row>
    <row r="380" spans="1:1" x14ac:dyDescent="0.35">
      <c r="A380" s="76"/>
    </row>
    <row r="381" spans="1:1" x14ac:dyDescent="0.35">
      <c r="A381" s="76"/>
    </row>
    <row r="382" spans="1:1" x14ac:dyDescent="0.35">
      <c r="A382" s="76"/>
    </row>
    <row r="383" spans="1:1" x14ac:dyDescent="0.35">
      <c r="A383" s="76"/>
    </row>
    <row r="384" spans="1:1" x14ac:dyDescent="0.35">
      <c r="A384" s="76"/>
    </row>
    <row r="385" spans="1:1" x14ac:dyDescent="0.35">
      <c r="A385" s="76"/>
    </row>
    <row r="386" spans="1:1" x14ac:dyDescent="0.35">
      <c r="A386" s="76"/>
    </row>
    <row r="387" spans="1:1" x14ac:dyDescent="0.35">
      <c r="A387" s="76"/>
    </row>
    <row r="388" spans="1:1" x14ac:dyDescent="0.35">
      <c r="A388" s="76"/>
    </row>
    <row r="389" spans="1:1" x14ac:dyDescent="0.35">
      <c r="A389" s="76"/>
    </row>
    <row r="390" spans="1:1" x14ac:dyDescent="0.35">
      <c r="A390" s="76"/>
    </row>
    <row r="391" spans="1:1" x14ac:dyDescent="0.35">
      <c r="A391" s="76"/>
    </row>
    <row r="392" spans="1:1" x14ac:dyDescent="0.35">
      <c r="A392" s="76"/>
    </row>
  </sheetData>
  <mergeCells count="9">
    <mergeCell ref="A2:L2"/>
    <mergeCell ref="A8:L8"/>
    <mergeCell ref="A1:L1"/>
    <mergeCell ref="A3:C4"/>
    <mergeCell ref="G3:I4"/>
    <mergeCell ref="D3:F4"/>
    <mergeCell ref="J3:L4"/>
    <mergeCell ref="D5:F6"/>
    <mergeCell ref="A5:C6"/>
  </mergeCells>
  <pageMargins left="0.75" right="0.75" top="1" bottom="1" header="0.5" footer="0.5"/>
  <pageSetup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0B41-F00C-4800-9EE5-30C3FA49F986}">
  <sheetPr>
    <tabColor rgb="FFF4A261"/>
    <pageSetUpPr fitToPage="1"/>
  </sheetPr>
  <dimension ref="A1:M395"/>
  <sheetViews>
    <sheetView workbookViewId="0">
      <pane ySplit="10" topLeftCell="A11" activePane="bottomLeft" state="frozen"/>
      <selection pane="bottomLeft" activeCell="B7" sqref="B7"/>
    </sheetView>
  </sheetViews>
  <sheetFormatPr defaultRowHeight="14.5" x14ac:dyDescent="0.35"/>
  <cols>
    <col min="1" max="1" width="24" bestFit="1" customWidth="1"/>
    <col min="2" max="2" width="22" style="57" customWidth="1"/>
    <col min="3" max="3" width="24" bestFit="1" customWidth="1"/>
    <col min="4" max="4" width="20" customWidth="1"/>
    <col min="5" max="7" width="18" customWidth="1"/>
    <col min="8" max="8" width="26" customWidth="1"/>
    <col min="10" max="13" width="13" customWidth="1"/>
  </cols>
  <sheetData>
    <row r="1" spans="1:13" ht="30" customHeight="1" x14ac:dyDescent="0.35">
      <c r="A1" s="92" t="s">
        <v>45</v>
      </c>
      <c r="B1" s="90"/>
      <c r="C1" s="90"/>
      <c r="D1" s="90"/>
      <c r="E1" s="90"/>
      <c r="F1" s="90"/>
      <c r="G1" s="90"/>
      <c r="H1" s="90"/>
    </row>
    <row r="2" spans="1:13" ht="18" customHeight="1" x14ac:dyDescent="0.35">
      <c r="A2" s="91" t="s">
        <v>46</v>
      </c>
      <c r="B2" s="90"/>
      <c r="C2" s="90"/>
      <c r="D2" s="90"/>
      <c r="E2" s="90"/>
      <c r="F2" s="90"/>
      <c r="G2" s="90"/>
      <c r="H2" s="90"/>
      <c r="J2" t="s">
        <v>47</v>
      </c>
    </row>
    <row r="3" spans="1:13" ht="22" customHeight="1" x14ac:dyDescent="0.35">
      <c r="A3" s="17" t="s">
        <v>48</v>
      </c>
      <c r="B3" s="60">
        <f>'💳 Debt Input'!$E$10</f>
        <v>960</v>
      </c>
      <c r="C3" s="17" t="s">
        <v>79</v>
      </c>
      <c r="D3" s="44">
        <f>'💳 Debt Input'!B11</f>
        <v>50</v>
      </c>
      <c r="E3" s="17" t="s">
        <v>80</v>
      </c>
      <c r="F3" s="18">
        <f>B3+D3</f>
        <v>1010</v>
      </c>
      <c r="J3" t="s">
        <v>49</v>
      </c>
      <c r="K3" t="s">
        <v>50</v>
      </c>
      <c r="L3" t="s">
        <v>51</v>
      </c>
      <c r="M3" t="s">
        <v>52</v>
      </c>
    </row>
    <row r="4" spans="1:13" ht="24" customHeight="1" x14ac:dyDescent="0.35">
      <c r="A4" s="93" t="s">
        <v>53</v>
      </c>
      <c r="B4" s="93"/>
      <c r="C4" s="112"/>
      <c r="D4" s="112"/>
      <c r="E4" s="112"/>
    </row>
    <row r="5" spans="1:13" ht="22" customHeight="1" x14ac:dyDescent="0.35">
      <c r="A5" s="17" t="s">
        <v>54</v>
      </c>
      <c r="B5" s="58" cm="1">
        <f t="array" aca="1" ref="B5" ca="1">IFERROR(ROUNDUP((MAX(_xlfn._xlws.FILTER(ROW('Snowball WhatIf Calc'!E11:E1200), 'Snowball WhatIf Calc'!E11:E1200&gt;0)) - 5) / 6, 0), 0)</f>
        <v>62</v>
      </c>
      <c r="C5" s="69"/>
      <c r="D5" s="79"/>
      <c r="E5" s="72"/>
    </row>
    <row r="6" spans="1:13" ht="22" customHeight="1" x14ac:dyDescent="0.35">
      <c r="A6" s="17" t="s">
        <v>56</v>
      </c>
      <c r="B6" s="59">
        <f ca="1">SUM(D11:D1200)</f>
        <v>28235.210000000003</v>
      </c>
      <c r="C6" s="69"/>
      <c r="D6" s="80"/>
      <c r="E6" s="72"/>
    </row>
    <row r="7" spans="1:13" ht="22" customHeight="1" x14ac:dyDescent="0.35">
      <c r="A7" s="17" t="s">
        <v>58</v>
      </c>
      <c r="B7" s="59">
        <f ca="1">SUM(E11:E1200)</f>
        <v>59435.21</v>
      </c>
      <c r="C7" s="69"/>
      <c r="D7" s="80"/>
      <c r="E7" s="72"/>
    </row>
    <row r="8" spans="1:13" ht="20.149999999999999" customHeight="1" x14ac:dyDescent="0.35">
      <c r="C8" s="69"/>
      <c r="D8" s="81"/>
      <c r="E8" s="72"/>
    </row>
    <row r="9" spans="1:13" ht="20.149999999999999" customHeight="1" x14ac:dyDescent="0.35">
      <c r="A9" s="89" t="s">
        <v>61</v>
      </c>
      <c r="B9" s="90"/>
      <c r="C9" s="90"/>
      <c r="D9" s="90"/>
      <c r="E9" s="90"/>
      <c r="F9" s="90"/>
      <c r="G9" s="90"/>
      <c r="H9" s="90"/>
      <c r="J9">
        <v>1</v>
      </c>
      <c r="K9">
        <f ca="1">SUM(F11:F16)</f>
        <v>30672.5</v>
      </c>
      <c r="L9">
        <f>SUM(D11:D16)</f>
        <v>658</v>
      </c>
      <c r="M9">
        <f ca="1">F16</f>
        <v>16000</v>
      </c>
    </row>
    <row r="10" spans="1:13" ht="20.149999999999999" customHeight="1" x14ac:dyDescent="0.35">
      <c r="A10" s="45" t="s">
        <v>49</v>
      </c>
      <c r="B10" s="53" t="s">
        <v>28</v>
      </c>
      <c r="C10" s="4" t="s">
        <v>62</v>
      </c>
      <c r="D10" s="4" t="s">
        <v>51</v>
      </c>
      <c r="E10" s="4" t="s">
        <v>63</v>
      </c>
      <c r="F10" s="4" t="s">
        <v>64</v>
      </c>
      <c r="G10" s="4" t="s">
        <v>65</v>
      </c>
      <c r="H10" s="4" t="s">
        <v>66</v>
      </c>
      <c r="J10">
        <v>2</v>
      </c>
      <c r="K10">
        <f ca="1">SUM(F17:F22)</f>
        <v>30341.85</v>
      </c>
      <c r="L10">
        <f ca="1">SUM(D17:D22)</f>
        <v>654.35</v>
      </c>
      <c r="M10">
        <f ca="1">F22</f>
        <v>16000</v>
      </c>
    </row>
    <row r="11" spans="1:13" ht="18" customHeight="1" x14ac:dyDescent="0.35">
      <c r="A11" s="46">
        <v>1</v>
      </c>
      <c r="B11" s="8" t="str" cm="1">
        <f t="array" ref="B11:B16">_xlfn.SORTBY(_xlfn._xlws.FILTER('💳 Debt Input'!$A$4:$A$9, '💳 Debt Input'!$B$4:$B$9&gt;0), _xlfn._xlws.FILTER('💳 Debt Input'!$C$4:$C$9, '💳 Debt Input'!$B$4:$B$9&gt;0))</f>
        <v>Store Card</v>
      </c>
      <c r="C11" s="61">
        <f>IF(B11="","", VLOOKUP(B11, '💳 Debt Input'!$A$4:$G$9, 2, FALSE))</f>
        <v>200</v>
      </c>
      <c r="D11" s="61">
        <f>IF(B11="","", ROUND(C11 * (VLOOKUP(B11, '💳 Debt Input'!$A$4:$G$9, 3, FALSE) / 12), 2))</f>
        <v>0.5</v>
      </c>
      <c r="E11" s="61" cm="1">
        <f t="array" aca="1" ref="E11" ca="1">IF(B11="","", ROUND(MIN(C11+D11, MAX(VLOOKUP(B11,'💳 Debt Input'!$A$4:$G$9,4,FALSE), $F$3 - IFERROR(SUM(OFFSET(E11, -MOD(ROW()-6, 6), 0, MOD(ROW()-6, 6))), 0) - IFERROR(SUM(SUMIF('💳 Debt Input'!$A$4:$A$9, OFFSET(B11, 1, 0, 5-MOD(ROW()-6, 6)), '💳 Debt Input'!$D$4:$D$9)), 0))), 2))</f>
        <v>200.5</v>
      </c>
      <c r="F11" s="61">
        <f ca="1">IF(B11="","", C11 + D11 - E11)</f>
        <v>0</v>
      </c>
      <c r="G11" s="19" t="str">
        <f t="shared" ref="G11:G74" ca="1" si="0">IF(F11=0,"Paid off","Active")</f>
        <v>Paid off</v>
      </c>
      <c r="H11" s="20"/>
      <c r="J11">
        <v>3</v>
      </c>
      <c r="K11">
        <f ca="1">SUM(F23:F28)</f>
        <v>30008</v>
      </c>
      <c r="L11">
        <f ca="1">SUM(D23:D28)</f>
        <v>651.15</v>
      </c>
      <c r="M11">
        <f ca="1">F28</f>
        <v>16000</v>
      </c>
    </row>
    <row r="12" spans="1:13" ht="18" customHeight="1" x14ac:dyDescent="0.35">
      <c r="A12" s="47"/>
      <c r="B12" s="8" t="str">
        <v>Medical Bill</v>
      </c>
      <c r="C12" s="61">
        <f>IF(B12="","", VLOOKUP(B12, '💳 Debt Input'!$A$4:$G$9, 2, FALSE))</f>
        <v>500</v>
      </c>
      <c r="D12" s="61">
        <f>IF(B12="","", ROUND(C12 * (VLOOKUP(B12, '💳 Debt Input'!$A$4:$G$9, 3, FALSE) / 12), 2))</f>
        <v>1.67</v>
      </c>
      <c r="E12" s="61" cm="1">
        <f t="array" aca="1" ref="E12" ca="1">IF(B12="","", ROUND(MIN(C12+D12, MAX(VLOOKUP(B12,'💳 Debt Input'!$A$4:$G$9,4,FALSE), $F$3 - IFERROR(SUM(OFFSET(E12, -MOD(ROW()-6, 6), 0, MOD(ROW()-6, 6))), 0) - IFERROR(SUM(SUMIF('💳 Debt Input'!$A$4:$A$9, OFFSET(B12, 1, 0, 5-MOD(ROW()-6, 6)), '💳 Debt Input'!$D$4:$D$9)), 0))), 2))</f>
        <v>75</v>
      </c>
      <c r="F12" s="61">
        <f t="shared" ref="F12:F75" ca="1" si="1">ROUND(MAX(0,C12+D12-E12),2)</f>
        <v>426.67</v>
      </c>
      <c r="G12" s="19" t="str">
        <f t="shared" ca="1" si="0"/>
        <v>Active</v>
      </c>
      <c r="H12" s="20"/>
      <c r="J12">
        <v>4</v>
      </c>
      <c r="K12">
        <f ca="1">SUM(F29:F34)</f>
        <v>29670.92</v>
      </c>
      <c r="L12">
        <f ca="1">SUM(D29:D34)</f>
        <v>647.92000000000007</v>
      </c>
      <c r="M12">
        <f ca="1">F34</f>
        <v>16000</v>
      </c>
    </row>
    <row r="13" spans="1:13" ht="18" customHeight="1" x14ac:dyDescent="0.35">
      <c r="A13" s="47"/>
      <c r="B13" s="8" t="str">
        <v>Personal Loan</v>
      </c>
      <c r="C13" s="61">
        <f>IF(B13="","", VLOOKUP(B13, '💳 Debt Input'!$A$4:$G$9, 2, FALSE))</f>
        <v>1500</v>
      </c>
      <c r="D13" s="61">
        <f>IF(B13="","", ROUND(C13 * (VLOOKUP(B13, '💳 Debt Input'!$A$4:$G$9, 3, FALSE) / 12), 2))</f>
        <v>7.5</v>
      </c>
      <c r="E13" s="61" cm="1">
        <f t="array" aca="1" ref="E13" ca="1">IF(B13="","", ROUND(MIN(C13+D13, MAX(VLOOKUP(B13,'💳 Debt Input'!$A$4:$G$9,4,FALSE), $F$3 - IFERROR(SUM(OFFSET(E13, -MOD(ROW()-6, 6), 0, MOD(ROW()-6, 6))), 0) - IFERROR(SUM(SUMIF('💳 Debt Input'!$A$4:$A$9, OFFSET(B13, 1, 0, 5-MOD(ROW()-6, 6)), '💳 Debt Input'!$D$4:$D$9)), 0))), 2))</f>
        <v>40</v>
      </c>
      <c r="F13" s="61">
        <f t="shared" ca="1" si="1"/>
        <v>1467.5</v>
      </c>
      <c r="G13" s="19" t="str">
        <f t="shared" ca="1" si="0"/>
        <v>Active</v>
      </c>
      <c r="H13" s="20"/>
      <c r="J13">
        <v>5</v>
      </c>
      <c r="K13">
        <f ca="1">SUM(F35:F40)</f>
        <v>29330.58</v>
      </c>
      <c r="L13">
        <f ca="1">SUM(D35:D40)</f>
        <v>644.66</v>
      </c>
      <c r="M13">
        <f ca="1">F40</f>
        <v>16000</v>
      </c>
    </row>
    <row r="14" spans="1:13" ht="18" customHeight="1" x14ac:dyDescent="0.35">
      <c r="A14" s="47"/>
      <c r="B14" s="8" t="str">
        <v>Auto Loan</v>
      </c>
      <c r="C14" s="61">
        <f>IF(B14="","", VLOOKUP(B14, '💳 Debt Input'!$A$4:$G$9, 2, FALSE))</f>
        <v>4000</v>
      </c>
      <c r="D14" s="61">
        <f>IF(B14="","", ROUND(C14 * (VLOOKUP(B14, '💳 Debt Input'!$A$4:$G$9, 3, FALSE) / 12), 2))</f>
        <v>33.33</v>
      </c>
      <c r="E14" s="61" cm="1">
        <f t="array" aca="1" ref="E14" ca="1">IF(B14="","", ROUND(MIN(C14+D14, MAX(VLOOKUP(B14,'💳 Debt Input'!$A$4:$G$9,4,FALSE), $F$3 - IFERROR(SUM(OFFSET(E14, -MOD(ROW()-6, 6), 0, MOD(ROW()-6, 6))), 0) - IFERROR(SUM(SUMIF('💳 Debt Input'!$A$4:$A$9, OFFSET(B14, 1, 0, 5-MOD(ROW()-6, 6)), '💳 Debt Input'!$D$4:$D$9)), 0))), 2))</f>
        <v>120</v>
      </c>
      <c r="F14" s="61">
        <f t="shared" ca="1" si="1"/>
        <v>3913.33</v>
      </c>
      <c r="G14" s="19" t="str">
        <f t="shared" ca="1" si="0"/>
        <v>Active</v>
      </c>
      <c r="H14" s="20"/>
      <c r="J14">
        <v>6</v>
      </c>
      <c r="K14">
        <f ca="1">SUM(F41:F46)</f>
        <v>28986.93</v>
      </c>
      <c r="L14">
        <f ca="1">SUM(D41:D46)</f>
        <v>641.35</v>
      </c>
      <c r="M14">
        <f ca="1">F46</f>
        <v>16000</v>
      </c>
    </row>
    <row r="15" spans="1:13" ht="18" customHeight="1" x14ac:dyDescent="0.35">
      <c r="A15" s="47"/>
      <c r="B15" s="8" t="str">
        <v>Travel Card</v>
      </c>
      <c r="C15" s="61">
        <f>IF(B15="","", VLOOKUP(B15, '💳 Debt Input'!$A$4:$G$9, 2, FALSE))</f>
        <v>9000</v>
      </c>
      <c r="D15" s="61">
        <f>IF(B15="","", ROUND(C15 * (VLOOKUP(B15, '💳 Debt Input'!$A$4:$G$9, 3, FALSE) / 12), 2))</f>
        <v>135</v>
      </c>
      <c r="E15" s="61" cm="1">
        <f t="array" aca="1" ref="E15" ca="1">IF(B15="","", ROUND(MIN(C15+D15, MAX(VLOOKUP(B15,'💳 Debt Input'!$A$4:$G$9,4,FALSE), $F$3 - IFERROR(SUM(OFFSET(E15, -MOD(ROW()-6, 6), 0, MOD(ROW()-6, 6))), 0) - IFERROR(SUM(SUMIF('💳 Debt Input'!$A$4:$A$9, OFFSET(B15, 1, 0, 5-MOD(ROW()-6, 6)), '💳 Debt Input'!$D$4:$D$9)), 0))), 2))</f>
        <v>270</v>
      </c>
      <c r="F15" s="61">
        <f t="shared" ca="1" si="1"/>
        <v>8865</v>
      </c>
      <c r="G15" s="19" t="str">
        <f t="shared" ca="1" si="0"/>
        <v>Active</v>
      </c>
      <c r="H15" s="20"/>
      <c r="J15">
        <v>7</v>
      </c>
      <c r="K15">
        <f ca="1">SUM(F47:F52)</f>
        <v>28639.93</v>
      </c>
      <c r="L15">
        <f ca="1">SUM(D47:D52)</f>
        <v>638</v>
      </c>
      <c r="M15">
        <f ca="1">F52</f>
        <v>16000</v>
      </c>
    </row>
    <row r="16" spans="1:13" ht="18" customHeight="1" x14ac:dyDescent="0.35">
      <c r="A16" s="47"/>
      <c r="B16" s="8" t="str">
        <v>Rewards Visa</v>
      </c>
      <c r="C16" s="61">
        <f>IF(B16="","", VLOOKUP(B16, '💳 Debt Input'!$A$4:$G$9, 2, FALSE))</f>
        <v>16000</v>
      </c>
      <c r="D16" s="61">
        <f>IF(B16="","", ROUND(C16 * (VLOOKUP(B16, '💳 Debt Input'!$A$4:$G$9, 3, FALSE) / 12), 2))</f>
        <v>480</v>
      </c>
      <c r="E16" s="61" cm="1">
        <f t="array" aca="1" ref="E16" ca="1">IF(B16="","", ROUND(MIN(C16+D16, MAX(VLOOKUP(B16,'💳 Debt Input'!$A$4:$G$9,4,FALSE), $F$3 - IFERROR(SUM(OFFSET(E16, -MOD(ROW()-6, 6), 0, MOD(ROW()-6, 6))), 0) - IFERROR(SUM(SUMIF('💳 Debt Input'!$A$4:$A$9, OFFSET(B16, 1, 0, 5-MOD(ROW()-6, 6)), '💳 Debt Input'!$D$4:$D$9)), 0))), 2))</f>
        <v>480</v>
      </c>
      <c r="F16" s="61">
        <f t="shared" ca="1" si="1"/>
        <v>16000</v>
      </c>
      <c r="G16" s="19" t="str">
        <f t="shared" ca="1" si="0"/>
        <v>Active</v>
      </c>
      <c r="H16" s="20"/>
      <c r="J16">
        <v>8</v>
      </c>
      <c r="K16">
        <f ca="1">SUM(F53:F58)</f>
        <v>28289.5</v>
      </c>
      <c r="L16">
        <f ca="1">SUM(D53:D58)</f>
        <v>634.56999999999994</v>
      </c>
      <c r="M16">
        <f ca="1">F58</f>
        <v>16000</v>
      </c>
    </row>
    <row r="17" spans="1:13" ht="18" customHeight="1" x14ac:dyDescent="0.35">
      <c r="A17" s="48">
        <v>2</v>
      </c>
      <c r="B17" s="54" t="str" cm="1">
        <f t="array" ref="B17:B22">B11:B16</f>
        <v>Store Card</v>
      </c>
      <c r="C17" s="62" cm="1">
        <f t="array" aca="1" ref="C17:C22" ca="1">F11:F16</f>
        <v>0</v>
      </c>
      <c r="D17" s="62">
        <f ca="1">IF(B17="","", ROUND(C17 * (VLOOKUP(B17, '💳 Debt Input'!$A$4:$G$9, 3, FALSE) / 12), 2))</f>
        <v>0</v>
      </c>
      <c r="E17" s="62" cm="1">
        <f t="array" aca="1" ref="E17" ca="1">IF(B17="","", ROUND(MIN(C17+D17, MAX(VLOOKUP(B17,'💳 Debt Input'!$A$4:$G$9,4,FALSE), $F$3 - IFERROR(SUM(OFFSET(E17, -MOD(ROW()-6, 6), 0, MOD(ROW()-6, 6))), 0) - IFERROR(SUM(SUMIF('💳 Debt Input'!$A$4:$A$9, OFFSET(B17, 1, 0, 5-MOD(ROW()-6, 6)), '💳 Debt Input'!$D$4:$D$9)), 0))), 2))</f>
        <v>0</v>
      </c>
      <c r="F17" s="62">
        <f t="shared" ca="1" si="1"/>
        <v>0</v>
      </c>
      <c r="G17" s="21" t="str">
        <f t="shared" ca="1" si="0"/>
        <v>Paid off</v>
      </c>
      <c r="H17" s="21"/>
      <c r="J17">
        <v>9</v>
      </c>
      <c r="K17">
        <f ca="1">SUM(F59:F64)</f>
        <v>27935.510000000002</v>
      </c>
      <c r="L17">
        <f ca="1">SUM(D59:D64)</f>
        <v>631.01</v>
      </c>
      <c r="M17">
        <f ca="1">F64</f>
        <v>16000</v>
      </c>
    </row>
    <row r="18" spans="1:13" ht="18" customHeight="1" x14ac:dyDescent="0.35">
      <c r="A18" s="49"/>
      <c r="B18" s="6" t="str">
        <v>Medical Bill</v>
      </c>
      <c r="C18" s="63">
        <f ca="1"/>
        <v>426.67</v>
      </c>
      <c r="D18" s="63">
        <f ca="1">IF(B18="","", ROUND(C18 * (VLOOKUP(B18, '💳 Debt Input'!$A$4:$G$9, 3, FALSE) / 12), 2))</f>
        <v>1.42</v>
      </c>
      <c r="E18" s="63" cm="1">
        <f t="array" aca="1" ref="E18" ca="1">IF(B18="","", ROUND(MIN(C18+D18, MAX(VLOOKUP(B18,'💳 Debt Input'!$A$4:$G$9,4,FALSE), $F$3 - IFERROR(SUM(OFFSET(E18, -MOD(ROW()-6, 6), 0, MOD(ROW()-6, 6))), 0) - IFERROR(SUM(SUMIF('💳 Debt Input'!$A$4:$A$9, OFFSET(B18, 1, 0, 5-MOD(ROW()-6, 6)), '💳 Debt Input'!$D$4:$D$9)), 0))), 2))</f>
        <v>75</v>
      </c>
      <c r="F18" s="63">
        <f t="shared" ca="1" si="1"/>
        <v>353.09</v>
      </c>
      <c r="G18" s="22" t="str">
        <f t="shared" ca="1" si="0"/>
        <v>Active</v>
      </c>
      <c r="H18" s="22"/>
      <c r="J18">
        <v>10</v>
      </c>
      <c r="K18">
        <f ca="1">SUM(F65:F70)</f>
        <v>27577.919999999998</v>
      </c>
      <c r="L18">
        <f ca="1">SUM(D65:D70)</f>
        <v>627.41</v>
      </c>
      <c r="M18">
        <f ca="1">F70</f>
        <v>16000</v>
      </c>
    </row>
    <row r="19" spans="1:13" ht="18" customHeight="1" x14ac:dyDescent="0.35">
      <c r="A19" s="49"/>
      <c r="B19" s="6" t="str">
        <v>Personal Loan</v>
      </c>
      <c r="C19" s="63">
        <f ca="1"/>
        <v>1467.5</v>
      </c>
      <c r="D19" s="63">
        <f ca="1">IF(B19="","", ROUND(C19 * (VLOOKUP(B19, '💳 Debt Input'!$A$4:$G$9, 3, FALSE) / 12), 2))</f>
        <v>7.34</v>
      </c>
      <c r="E19" s="63" cm="1">
        <f t="array" aca="1" ref="E19" ca="1">IF(B19="","", ROUND(MIN(C19+D19, MAX(VLOOKUP(B19,'💳 Debt Input'!$A$4:$G$9,4,FALSE), $F$3 - IFERROR(SUM(OFFSET(E19, -MOD(ROW()-6, 6), 0, MOD(ROW()-6, 6))), 0) - IFERROR(SUM(SUMIF('💳 Debt Input'!$A$4:$A$9, OFFSET(B19, 1, 0, 5-MOD(ROW()-6, 6)), '💳 Debt Input'!$D$4:$D$9)), 0))), 2))</f>
        <v>40</v>
      </c>
      <c r="F19" s="63">
        <f t="shared" ca="1" si="1"/>
        <v>1434.84</v>
      </c>
      <c r="G19" s="22" t="str">
        <f t="shared" ca="1" si="0"/>
        <v>Active</v>
      </c>
      <c r="H19" s="22"/>
      <c r="J19">
        <v>11</v>
      </c>
      <c r="K19">
        <f ca="1">SUM(F71:F76)</f>
        <v>27216.690000000002</v>
      </c>
      <c r="L19">
        <f ca="1">SUM(D71:D76)</f>
        <v>623.77</v>
      </c>
      <c r="M19">
        <f ca="1">F76</f>
        <v>16000</v>
      </c>
    </row>
    <row r="20" spans="1:13" ht="18" customHeight="1" x14ac:dyDescent="0.35">
      <c r="A20" s="49"/>
      <c r="B20" s="6" t="str">
        <v>Auto Loan</v>
      </c>
      <c r="C20" s="63">
        <f ca="1"/>
        <v>3913.33</v>
      </c>
      <c r="D20" s="63">
        <f ca="1">IF(B20="","", ROUND(C20 * (VLOOKUP(B20, '💳 Debt Input'!$A$4:$G$9, 3, FALSE) / 12), 2))</f>
        <v>32.61</v>
      </c>
      <c r="E20" s="63" cm="1">
        <f t="array" aca="1" ref="E20" ca="1">IF(B20="","", ROUND(MIN(C20+D20, MAX(VLOOKUP(B20,'💳 Debt Input'!$A$4:$G$9,4,FALSE), $F$3 - IFERROR(SUM(OFFSET(E20, -MOD(ROW()-6, 6), 0, MOD(ROW()-6, 6))), 0) - IFERROR(SUM(SUMIF('💳 Debt Input'!$A$4:$A$9, OFFSET(B20, 1, 0, 5-MOD(ROW()-6, 6)), '💳 Debt Input'!$D$4:$D$9)), 0))), 2))</f>
        <v>120</v>
      </c>
      <c r="F20" s="63">
        <f t="shared" ca="1" si="1"/>
        <v>3825.94</v>
      </c>
      <c r="G20" s="22" t="str">
        <f t="shared" ca="1" si="0"/>
        <v>Active</v>
      </c>
      <c r="H20" s="22"/>
      <c r="J20">
        <v>12</v>
      </c>
      <c r="K20">
        <f ca="1">SUM(F77:F82)</f>
        <v>26851.78</v>
      </c>
      <c r="L20">
        <f ca="1">SUM(D77:D82)</f>
        <v>620.09</v>
      </c>
      <c r="M20">
        <f ca="1">F82</f>
        <v>16000</v>
      </c>
    </row>
    <row r="21" spans="1:13" ht="18" customHeight="1" x14ac:dyDescent="0.35">
      <c r="A21" s="49"/>
      <c r="B21" s="6" t="str">
        <v>Travel Card</v>
      </c>
      <c r="C21" s="63">
        <f ca="1"/>
        <v>8865</v>
      </c>
      <c r="D21" s="63">
        <f ca="1">IF(B21="","", ROUND(C21 * (VLOOKUP(B21, '💳 Debt Input'!$A$4:$G$9, 3, FALSE) / 12), 2))</f>
        <v>132.97999999999999</v>
      </c>
      <c r="E21" s="63" cm="1">
        <f t="array" aca="1" ref="E21" ca="1">IF(B21="","", ROUND(MIN(C21+D21, MAX(VLOOKUP(B21,'💳 Debt Input'!$A$4:$G$9,4,FALSE), $F$3 - IFERROR(SUM(OFFSET(E21, -MOD(ROW()-6, 6), 0, MOD(ROW()-6, 6))), 0) - IFERROR(SUM(SUMIF('💳 Debt Input'!$A$4:$A$9, OFFSET(B21, 1, 0, 5-MOD(ROW()-6, 6)), '💳 Debt Input'!$D$4:$D$9)), 0))), 2))</f>
        <v>270</v>
      </c>
      <c r="F21" s="63">
        <f t="shared" ca="1" si="1"/>
        <v>8727.98</v>
      </c>
      <c r="G21" s="22" t="str">
        <f t="shared" ca="1" si="0"/>
        <v>Active</v>
      </c>
      <c r="H21" s="22"/>
      <c r="J21">
        <v>13</v>
      </c>
      <c r="K21">
        <f ca="1">SUM(F83:F88)</f>
        <v>26483.14</v>
      </c>
      <c r="L21">
        <f ca="1">SUM(D83:D88)</f>
        <v>616.36</v>
      </c>
      <c r="M21">
        <f ca="1">F88</f>
        <v>16000</v>
      </c>
    </row>
    <row r="22" spans="1:13" ht="18" customHeight="1" x14ac:dyDescent="0.35">
      <c r="A22" s="49"/>
      <c r="B22" s="6" t="str">
        <v>Rewards Visa</v>
      </c>
      <c r="C22" s="63">
        <f ca="1"/>
        <v>16000</v>
      </c>
      <c r="D22" s="63">
        <f ca="1">IF(B22="","", ROUND(C22 * (VLOOKUP(B22, '💳 Debt Input'!$A$4:$G$9, 3, FALSE) / 12), 2))</f>
        <v>480</v>
      </c>
      <c r="E22" s="63" cm="1">
        <f t="array" aca="1" ref="E22" ca="1">IF(B22="","", ROUND(MIN(C22+D22, MAX(VLOOKUP(B22,'💳 Debt Input'!$A$4:$G$9,4,FALSE), $F$3 - IFERROR(SUM(OFFSET(E22, -MOD(ROW()-6, 6), 0, MOD(ROW()-6, 6))), 0) - IFERROR(SUM(SUMIF('💳 Debt Input'!$A$4:$A$9, OFFSET(B22, 1, 0, 5-MOD(ROW()-6, 6)), '💳 Debt Input'!$D$4:$D$9)), 0))), 2))</f>
        <v>480</v>
      </c>
      <c r="F22" s="63">
        <f t="shared" ca="1" si="1"/>
        <v>16000</v>
      </c>
      <c r="G22" s="22" t="str">
        <f t="shared" ca="1" si="0"/>
        <v>Active</v>
      </c>
      <c r="H22" s="22"/>
      <c r="J22">
        <v>14</v>
      </c>
      <c r="K22">
        <f ca="1">SUM(F89:F94)</f>
        <v>26110.720000000001</v>
      </c>
      <c r="L22">
        <f ca="1">SUM(D89:D94)</f>
        <v>612.58000000000004</v>
      </c>
      <c r="M22">
        <f ca="1">F94</f>
        <v>16000</v>
      </c>
    </row>
    <row r="23" spans="1:13" ht="18" customHeight="1" x14ac:dyDescent="0.35">
      <c r="A23" s="50">
        <v>3</v>
      </c>
      <c r="B23" s="55" t="str" cm="1">
        <f t="array" ref="B23:B28">B17:B22</f>
        <v>Store Card</v>
      </c>
      <c r="C23" s="64" cm="1">
        <f t="array" aca="1" ref="C23:C28" ca="1">F17:F22</f>
        <v>0</v>
      </c>
      <c r="D23" s="64">
        <f ca="1">IF(B23="","", ROUND(C23 * (VLOOKUP(B23, '💳 Debt Input'!$A$4:$G$9, 3, FALSE) / 12), 2))</f>
        <v>0</v>
      </c>
      <c r="E23" s="64" cm="1">
        <f t="array" aca="1" ref="E23" ca="1">IF(B23="","", ROUND(MIN(C23+D23, MAX(VLOOKUP(B23,'💳 Debt Input'!$A$4:$G$9,4,FALSE), $F$3 - IFERROR(SUM(OFFSET(E23, -MOD(ROW()-6, 6), 0, MOD(ROW()-6, 6))), 0) - IFERROR(SUM(SUMIF('💳 Debt Input'!$A$4:$A$9, OFFSET(B23, 1, 0, 5-MOD(ROW()-6, 6)), '💳 Debt Input'!$D$4:$D$9)), 0))), 2))</f>
        <v>0</v>
      </c>
      <c r="F23" s="64">
        <f t="shared" ca="1" si="1"/>
        <v>0</v>
      </c>
      <c r="G23" s="24" t="str">
        <f t="shared" ca="1" si="0"/>
        <v>Paid off</v>
      </c>
      <c r="H23" s="24"/>
      <c r="J23">
        <v>15</v>
      </c>
      <c r="K23">
        <f ca="1">SUM(F95:F100)</f>
        <v>25734.48</v>
      </c>
      <c r="L23">
        <f ca="1">SUM(D95:D100)</f>
        <v>608.76</v>
      </c>
      <c r="M23">
        <f ca="1">F100</f>
        <v>16000</v>
      </c>
    </row>
    <row r="24" spans="1:13" ht="18" customHeight="1" x14ac:dyDescent="0.35">
      <c r="A24" s="47"/>
      <c r="B24" s="8" t="str">
        <v>Medical Bill</v>
      </c>
      <c r="C24" s="61">
        <f ca="1"/>
        <v>353.09</v>
      </c>
      <c r="D24" s="61">
        <f ca="1">IF(B24="","", ROUND(C24 * (VLOOKUP(B24, '💳 Debt Input'!$A$4:$G$9, 3, FALSE) / 12), 2))</f>
        <v>1.18</v>
      </c>
      <c r="E24" s="61" cm="1">
        <f t="array" aca="1" ref="E24" ca="1">IF(B24="","", ROUND(MIN(C24+D24, MAX(VLOOKUP(B24,'💳 Debt Input'!$A$4:$G$9,4,FALSE), $F$3 - IFERROR(SUM(OFFSET(E24, -MOD(ROW()-6, 6), 0, MOD(ROW()-6, 6))), 0) - IFERROR(SUM(SUMIF('💳 Debt Input'!$A$4:$A$9, OFFSET(B24, 1, 0, 5-MOD(ROW()-6, 6)), '💳 Debt Input'!$D$4:$D$9)), 0))), 2))</f>
        <v>75</v>
      </c>
      <c r="F24" s="61">
        <f t="shared" ca="1" si="1"/>
        <v>279.27</v>
      </c>
      <c r="G24" s="19" t="str">
        <f t="shared" ca="1" si="0"/>
        <v>Active</v>
      </c>
      <c r="H24" s="19"/>
      <c r="J24">
        <v>16</v>
      </c>
      <c r="K24">
        <f ca="1">SUM(F101:F106)</f>
        <v>25354.370000000003</v>
      </c>
      <c r="L24">
        <f ca="1">SUM(D101:D106)</f>
        <v>604.89</v>
      </c>
      <c r="M24">
        <f ca="1">F106</f>
        <v>16000</v>
      </c>
    </row>
    <row r="25" spans="1:13" ht="18" customHeight="1" x14ac:dyDescent="0.35">
      <c r="A25" s="47"/>
      <c r="B25" s="8" t="str">
        <v>Personal Loan</v>
      </c>
      <c r="C25" s="61">
        <f ca="1"/>
        <v>1434.84</v>
      </c>
      <c r="D25" s="61">
        <f ca="1">IF(B25="","", ROUND(C25 * (VLOOKUP(B25, '💳 Debt Input'!$A$4:$G$9, 3, FALSE) / 12), 2))</f>
        <v>7.17</v>
      </c>
      <c r="E25" s="61" cm="1">
        <f t="array" aca="1" ref="E25" ca="1">IF(B25="","", ROUND(MIN(C25+D25, MAX(VLOOKUP(B25,'💳 Debt Input'!$A$4:$G$9,4,FALSE), $F$3 - IFERROR(SUM(OFFSET(E25, -MOD(ROW()-6, 6), 0, MOD(ROW()-6, 6))), 0) - IFERROR(SUM(SUMIF('💳 Debt Input'!$A$4:$A$9, OFFSET(B25, 1, 0, 5-MOD(ROW()-6, 6)), '💳 Debt Input'!$D$4:$D$9)), 0))), 2))</f>
        <v>40</v>
      </c>
      <c r="F25" s="61">
        <f t="shared" ca="1" si="1"/>
        <v>1402.01</v>
      </c>
      <c r="G25" s="19" t="str">
        <f t="shared" ca="1" si="0"/>
        <v>Active</v>
      </c>
      <c r="H25" s="19"/>
      <c r="J25">
        <v>17</v>
      </c>
      <c r="K25">
        <f ca="1">SUM(F107:F112)</f>
        <v>24970.35</v>
      </c>
      <c r="L25">
        <f ca="1">SUM(D107:D112)</f>
        <v>600.98</v>
      </c>
      <c r="M25">
        <f ca="1">F112</f>
        <v>16000</v>
      </c>
    </row>
    <row r="26" spans="1:13" ht="18" customHeight="1" x14ac:dyDescent="0.35">
      <c r="A26" s="47"/>
      <c r="B26" s="8" t="str">
        <v>Auto Loan</v>
      </c>
      <c r="C26" s="61">
        <f ca="1"/>
        <v>3825.94</v>
      </c>
      <c r="D26" s="61">
        <f ca="1">IF(B26="","", ROUND(C26 * (VLOOKUP(B26, '💳 Debt Input'!$A$4:$G$9, 3, FALSE) / 12), 2))</f>
        <v>31.88</v>
      </c>
      <c r="E26" s="61" cm="1">
        <f t="array" aca="1" ref="E26" ca="1">IF(B26="","", ROUND(MIN(C26+D26, MAX(VLOOKUP(B26,'💳 Debt Input'!$A$4:$G$9,4,FALSE), $F$3 - IFERROR(SUM(OFFSET(E26, -MOD(ROW()-6, 6), 0, MOD(ROW()-6, 6))), 0) - IFERROR(SUM(SUMIF('💳 Debt Input'!$A$4:$A$9, OFFSET(B26, 1, 0, 5-MOD(ROW()-6, 6)), '💳 Debt Input'!$D$4:$D$9)), 0))), 2))</f>
        <v>120</v>
      </c>
      <c r="F26" s="61">
        <f t="shared" ca="1" si="1"/>
        <v>3737.82</v>
      </c>
      <c r="G26" s="19" t="str">
        <f t="shared" ca="1" si="0"/>
        <v>Active</v>
      </c>
      <c r="H26" s="19"/>
      <c r="J26">
        <v>18</v>
      </c>
      <c r="K26">
        <f ca="1">SUM(F113:F118)</f>
        <v>24582.36</v>
      </c>
      <c r="L26">
        <f ca="1">SUM(D113:D118)</f>
        <v>597.01</v>
      </c>
      <c r="M26">
        <f ca="1">F118</f>
        <v>16000</v>
      </c>
    </row>
    <row r="27" spans="1:13" ht="18" customHeight="1" x14ac:dyDescent="0.35">
      <c r="A27" s="47"/>
      <c r="B27" s="8" t="str">
        <v>Travel Card</v>
      </c>
      <c r="C27" s="61">
        <f ca="1"/>
        <v>8727.98</v>
      </c>
      <c r="D27" s="61">
        <f ca="1">IF(B27="","", ROUND(C27 * (VLOOKUP(B27, '💳 Debt Input'!$A$4:$G$9, 3, FALSE) / 12), 2))</f>
        <v>130.91999999999999</v>
      </c>
      <c r="E27" s="61" cm="1">
        <f t="array" aca="1" ref="E27" ca="1">IF(B27="","", ROUND(MIN(C27+D27, MAX(VLOOKUP(B27,'💳 Debt Input'!$A$4:$G$9,4,FALSE), $F$3 - IFERROR(SUM(OFFSET(E27, -MOD(ROW()-6, 6), 0, MOD(ROW()-6, 6))), 0) - IFERROR(SUM(SUMIF('💳 Debt Input'!$A$4:$A$9, OFFSET(B27, 1, 0, 5-MOD(ROW()-6, 6)), '💳 Debt Input'!$D$4:$D$9)), 0))), 2))</f>
        <v>270</v>
      </c>
      <c r="F27" s="61">
        <f t="shared" ca="1" si="1"/>
        <v>8588.9</v>
      </c>
      <c r="G27" s="19" t="str">
        <f t="shared" ca="1" si="0"/>
        <v>Active</v>
      </c>
      <c r="H27" s="19"/>
      <c r="J27">
        <v>19</v>
      </c>
      <c r="K27">
        <f ca="1">SUM(F119:F124)</f>
        <v>24190.36</v>
      </c>
      <c r="L27">
        <f ca="1">SUM(D119:D124)</f>
        <v>593</v>
      </c>
      <c r="M27">
        <f ca="1">F124</f>
        <v>16000</v>
      </c>
    </row>
    <row r="28" spans="1:13" ht="18" customHeight="1" x14ac:dyDescent="0.35">
      <c r="A28" s="47"/>
      <c r="B28" s="8" t="str">
        <v>Rewards Visa</v>
      </c>
      <c r="C28" s="61">
        <f ca="1"/>
        <v>16000</v>
      </c>
      <c r="D28" s="61">
        <f ca="1">IF(B28="","", ROUND(C28 * (VLOOKUP(B28, '💳 Debt Input'!$A$4:$G$9, 3, FALSE) / 12), 2))</f>
        <v>480</v>
      </c>
      <c r="E28" s="61" cm="1">
        <f t="array" aca="1" ref="E28" ca="1">IF(B28="","", ROUND(MIN(C28+D28, MAX(VLOOKUP(B28,'💳 Debt Input'!$A$4:$G$9,4,FALSE), $F$3 - IFERROR(SUM(OFFSET(E28, -MOD(ROW()-6, 6), 0, MOD(ROW()-6, 6))), 0) - IFERROR(SUM(SUMIF('💳 Debt Input'!$A$4:$A$9, OFFSET(B28, 1, 0, 5-MOD(ROW()-6, 6)), '💳 Debt Input'!$D$4:$D$9)), 0))), 2))</f>
        <v>480</v>
      </c>
      <c r="F28" s="61">
        <f t="shared" ca="1" si="1"/>
        <v>16000</v>
      </c>
      <c r="G28" s="19" t="str">
        <f t="shared" ca="1" si="0"/>
        <v>Active</v>
      </c>
      <c r="H28" s="19"/>
      <c r="J28">
        <v>20</v>
      </c>
      <c r="K28">
        <f ca="1">SUM(F125:F130)</f>
        <v>23793.989999999998</v>
      </c>
      <c r="L28">
        <f ca="1">SUM(D125:D130)</f>
        <v>588.63</v>
      </c>
      <c r="M28">
        <f ca="1">F130</f>
        <v>16000</v>
      </c>
    </row>
    <row r="29" spans="1:13" ht="18" customHeight="1" x14ac:dyDescent="0.35">
      <c r="A29" s="48">
        <v>4</v>
      </c>
      <c r="B29" s="54" t="str" cm="1">
        <f t="array" ref="B29:B34">B23:B28</f>
        <v>Store Card</v>
      </c>
      <c r="C29" s="62" cm="1">
        <f t="array" aca="1" ref="C29:C34" ca="1">F23:F28</f>
        <v>0</v>
      </c>
      <c r="D29" s="62">
        <f ca="1">IF(B29="","", ROUND(C29 * (VLOOKUP(B29, '💳 Debt Input'!$A$4:$G$9, 3, FALSE) / 12), 2))</f>
        <v>0</v>
      </c>
      <c r="E29" s="62" cm="1">
        <f t="array" aca="1" ref="E29" ca="1">IF(B29="","", ROUND(MIN(C29+D29, MAX(VLOOKUP(B29,'💳 Debt Input'!$A$4:$G$9,4,FALSE), $F$3 - IFERROR(SUM(OFFSET(E29, -MOD(ROW()-6, 6), 0, MOD(ROW()-6, 6))), 0) - IFERROR(SUM(SUMIF('💳 Debt Input'!$A$4:$A$9, OFFSET(B29, 1, 0, 5-MOD(ROW()-6, 6)), '💳 Debt Input'!$D$4:$D$9)), 0))), 2))</f>
        <v>0</v>
      </c>
      <c r="F29" s="62">
        <f t="shared" ca="1" si="1"/>
        <v>0</v>
      </c>
      <c r="G29" s="21" t="str">
        <f t="shared" ca="1" si="0"/>
        <v>Paid off</v>
      </c>
      <c r="H29" s="21"/>
      <c r="J29">
        <v>21</v>
      </c>
      <c r="K29">
        <f ca="1">SUM(F131:F136)</f>
        <v>23393.119999999999</v>
      </c>
      <c r="L29">
        <f ca="1">SUM(D131:D136)</f>
        <v>584.13</v>
      </c>
      <c r="M29">
        <f ca="1">F136</f>
        <v>16000</v>
      </c>
    </row>
    <row r="30" spans="1:13" ht="18" customHeight="1" x14ac:dyDescent="0.35">
      <c r="A30" s="49"/>
      <c r="B30" s="6" t="str">
        <v>Medical Bill</v>
      </c>
      <c r="C30" s="63">
        <f ca="1"/>
        <v>279.27</v>
      </c>
      <c r="D30" s="63">
        <f ca="1">IF(B30="","", ROUND(C30 * (VLOOKUP(B30, '💳 Debt Input'!$A$4:$G$9, 3, FALSE) / 12), 2))</f>
        <v>0.93</v>
      </c>
      <c r="E30" s="63" cm="1">
        <f t="array" aca="1" ref="E30" ca="1">IF(B30="","", ROUND(MIN(C30+D30, MAX(VLOOKUP(B30,'💳 Debt Input'!$A$4:$G$9,4,FALSE), $F$3 - IFERROR(SUM(OFFSET(E30, -MOD(ROW()-6, 6), 0, MOD(ROW()-6, 6))), 0) - IFERROR(SUM(SUMIF('💳 Debt Input'!$A$4:$A$9, OFFSET(B30, 1, 0, 5-MOD(ROW()-6, 6)), '💳 Debt Input'!$D$4:$D$9)), 0))), 2))</f>
        <v>75</v>
      </c>
      <c r="F30" s="63">
        <f t="shared" ca="1" si="1"/>
        <v>205.2</v>
      </c>
      <c r="G30" s="22" t="str">
        <f t="shared" ca="1" si="0"/>
        <v>Active</v>
      </c>
      <c r="H30" s="22"/>
      <c r="J30">
        <v>22</v>
      </c>
      <c r="K30">
        <f ca="1">SUM(F137:F142)</f>
        <v>22987.71</v>
      </c>
      <c r="L30">
        <f ca="1">SUM(D137:D142)</f>
        <v>579.59</v>
      </c>
      <c r="M30">
        <f ca="1">F142</f>
        <v>16000</v>
      </c>
    </row>
    <row r="31" spans="1:13" ht="18" customHeight="1" x14ac:dyDescent="0.35">
      <c r="A31" s="49"/>
      <c r="B31" s="6" t="str">
        <v>Personal Loan</v>
      </c>
      <c r="C31" s="63">
        <f ca="1"/>
        <v>1402.01</v>
      </c>
      <c r="D31" s="63">
        <f ca="1">IF(B31="","", ROUND(C31 * (VLOOKUP(B31, '💳 Debt Input'!$A$4:$G$9, 3, FALSE) / 12), 2))</f>
        <v>7.01</v>
      </c>
      <c r="E31" s="63" cm="1">
        <f t="array" aca="1" ref="E31" ca="1">IF(B31="","", ROUND(MIN(C31+D31, MAX(VLOOKUP(B31,'💳 Debt Input'!$A$4:$G$9,4,FALSE), $F$3 - IFERROR(SUM(OFFSET(E31, -MOD(ROW()-6, 6), 0, MOD(ROW()-6, 6))), 0) - IFERROR(SUM(SUMIF('💳 Debt Input'!$A$4:$A$9, OFFSET(B31, 1, 0, 5-MOD(ROW()-6, 6)), '💳 Debt Input'!$D$4:$D$9)), 0))), 2))</f>
        <v>40</v>
      </c>
      <c r="F31" s="63">
        <f t="shared" ca="1" si="1"/>
        <v>1369.02</v>
      </c>
      <c r="G31" s="22" t="str">
        <f t="shared" ca="1" si="0"/>
        <v>Active</v>
      </c>
      <c r="H31" s="22"/>
      <c r="J31">
        <v>23</v>
      </c>
      <c r="K31">
        <f ca="1">SUM(F143:F148)</f>
        <v>22577.69</v>
      </c>
      <c r="L31">
        <f ca="1">SUM(D143:D148)</f>
        <v>574.98</v>
      </c>
      <c r="M31">
        <f ca="1">F148</f>
        <v>16000</v>
      </c>
    </row>
    <row r="32" spans="1:13" ht="18" customHeight="1" x14ac:dyDescent="0.35">
      <c r="A32" s="49"/>
      <c r="B32" s="6" t="str">
        <v>Auto Loan</v>
      </c>
      <c r="C32" s="63">
        <f ca="1"/>
        <v>3737.82</v>
      </c>
      <c r="D32" s="63">
        <f ca="1">IF(B32="","", ROUND(C32 * (VLOOKUP(B32, '💳 Debt Input'!$A$4:$G$9, 3, FALSE) / 12), 2))</f>
        <v>31.15</v>
      </c>
      <c r="E32" s="63" cm="1">
        <f t="array" aca="1" ref="E32" ca="1">IF(B32="","", ROUND(MIN(C32+D32, MAX(VLOOKUP(B32,'💳 Debt Input'!$A$4:$G$9,4,FALSE), $F$3 - IFERROR(SUM(OFFSET(E32, -MOD(ROW()-6, 6), 0, MOD(ROW()-6, 6))), 0) - IFERROR(SUM(SUMIF('💳 Debt Input'!$A$4:$A$9, OFFSET(B32, 1, 0, 5-MOD(ROW()-6, 6)), '💳 Debt Input'!$D$4:$D$9)), 0))), 2))</f>
        <v>120</v>
      </c>
      <c r="F32" s="63">
        <f t="shared" ca="1" si="1"/>
        <v>3648.97</v>
      </c>
      <c r="G32" s="22" t="str">
        <f t="shared" ca="1" si="0"/>
        <v>Active</v>
      </c>
      <c r="H32" s="22"/>
      <c r="J32">
        <v>24</v>
      </c>
      <c r="K32">
        <f ca="1">SUM(F149:F154)</f>
        <v>22163</v>
      </c>
      <c r="L32">
        <f ca="1">SUM(D149:D154)</f>
        <v>570.30999999999995</v>
      </c>
      <c r="M32">
        <f ca="1">F154</f>
        <v>16000</v>
      </c>
    </row>
    <row r="33" spans="1:13" ht="18" customHeight="1" x14ac:dyDescent="0.35">
      <c r="A33" s="49"/>
      <c r="B33" s="6" t="str">
        <v>Travel Card</v>
      </c>
      <c r="C33" s="63">
        <f ca="1"/>
        <v>8588.9</v>
      </c>
      <c r="D33" s="63">
        <f ca="1">IF(B33="","", ROUND(C33 * (VLOOKUP(B33, '💳 Debt Input'!$A$4:$G$9, 3, FALSE) / 12), 2))</f>
        <v>128.83000000000001</v>
      </c>
      <c r="E33" s="63" cm="1">
        <f t="array" aca="1" ref="E33" ca="1">IF(B33="","", ROUND(MIN(C33+D33, MAX(VLOOKUP(B33,'💳 Debt Input'!$A$4:$G$9,4,FALSE), $F$3 - IFERROR(SUM(OFFSET(E33, -MOD(ROW()-6, 6), 0, MOD(ROW()-6, 6))), 0) - IFERROR(SUM(SUMIF('💳 Debt Input'!$A$4:$A$9, OFFSET(B33, 1, 0, 5-MOD(ROW()-6, 6)), '💳 Debt Input'!$D$4:$D$9)), 0))), 2))</f>
        <v>270</v>
      </c>
      <c r="F33" s="63">
        <f t="shared" ca="1" si="1"/>
        <v>8447.73</v>
      </c>
      <c r="G33" s="22" t="str">
        <f t="shared" ca="1" si="0"/>
        <v>Active</v>
      </c>
      <c r="H33" s="22"/>
      <c r="J33">
        <v>25</v>
      </c>
      <c r="K33">
        <f ca="1">SUM(F155:F160)</f>
        <v>21743.59</v>
      </c>
      <c r="L33">
        <f ca="1">SUM(D155:D160)</f>
        <v>565.59</v>
      </c>
      <c r="M33">
        <f ca="1">F160</f>
        <v>16000</v>
      </c>
    </row>
    <row r="34" spans="1:13" ht="18" customHeight="1" x14ac:dyDescent="0.35">
      <c r="A34" s="49"/>
      <c r="B34" s="6" t="str">
        <v>Rewards Visa</v>
      </c>
      <c r="C34" s="63">
        <f ca="1"/>
        <v>16000</v>
      </c>
      <c r="D34" s="63">
        <f ca="1">IF(B34="","", ROUND(C34 * (VLOOKUP(B34, '💳 Debt Input'!$A$4:$G$9, 3, FALSE) / 12), 2))</f>
        <v>480</v>
      </c>
      <c r="E34" s="63" cm="1">
        <f t="array" aca="1" ref="E34" ca="1">IF(B34="","", ROUND(MIN(C34+D34, MAX(VLOOKUP(B34,'💳 Debt Input'!$A$4:$G$9,4,FALSE), $F$3 - IFERROR(SUM(OFFSET(E34, -MOD(ROW()-6, 6), 0, MOD(ROW()-6, 6))), 0) - IFERROR(SUM(SUMIF('💳 Debt Input'!$A$4:$A$9, OFFSET(B34, 1, 0, 5-MOD(ROW()-6, 6)), '💳 Debt Input'!$D$4:$D$9)), 0))), 2))</f>
        <v>480</v>
      </c>
      <c r="F34" s="63">
        <f t="shared" ca="1" si="1"/>
        <v>16000</v>
      </c>
      <c r="G34" s="22" t="str">
        <f t="shared" ca="1" si="0"/>
        <v>Active</v>
      </c>
      <c r="H34" s="22"/>
      <c r="J34">
        <v>26</v>
      </c>
      <c r="K34">
        <f ca="1">SUM(F161:F166)</f>
        <v>21319.39</v>
      </c>
      <c r="L34">
        <f ca="1">SUM(D161:D166)</f>
        <v>560.79999999999995</v>
      </c>
      <c r="M34">
        <f ca="1">F166</f>
        <v>16000</v>
      </c>
    </row>
    <row r="35" spans="1:13" ht="18" customHeight="1" x14ac:dyDescent="0.35">
      <c r="A35" s="50">
        <v>5</v>
      </c>
      <c r="B35" s="55" t="str" cm="1">
        <f t="array" ref="B35:B40">B29:B34</f>
        <v>Store Card</v>
      </c>
      <c r="C35" s="64" cm="1">
        <f t="array" aca="1" ref="C35:C40" ca="1">F29:F34</f>
        <v>0</v>
      </c>
      <c r="D35" s="64">
        <f ca="1">IF(B35="","", ROUND(C35 * (VLOOKUP(B35, '💳 Debt Input'!$A$4:$G$9, 3, FALSE) / 12), 2))</f>
        <v>0</v>
      </c>
      <c r="E35" s="64" cm="1">
        <f t="array" aca="1" ref="E35" ca="1">IF(B35="","", ROUND(MIN(C35+D35, MAX(VLOOKUP(B35,'💳 Debt Input'!$A$4:$G$9,4,FALSE), $F$3 - IFERROR(SUM(OFFSET(E35, -MOD(ROW()-6, 6), 0, MOD(ROW()-6, 6))), 0) - IFERROR(SUM(SUMIF('💳 Debt Input'!$A$4:$A$9, OFFSET(B35, 1, 0, 5-MOD(ROW()-6, 6)), '💳 Debt Input'!$D$4:$D$9)), 0))), 2))</f>
        <v>0</v>
      </c>
      <c r="F35" s="64">
        <f t="shared" ca="1" si="1"/>
        <v>0</v>
      </c>
      <c r="G35" s="24" t="str">
        <f t="shared" ca="1" si="0"/>
        <v>Paid off</v>
      </c>
      <c r="H35" s="24"/>
      <c r="J35">
        <v>27</v>
      </c>
      <c r="K35">
        <f ca="1">SUM(F167:F172)</f>
        <v>20890.349999999999</v>
      </c>
      <c r="L35">
        <f ca="1">SUM(D167:D172)</f>
        <v>555.96</v>
      </c>
      <c r="M35">
        <f ca="1">F172</f>
        <v>16000</v>
      </c>
    </row>
    <row r="36" spans="1:13" ht="18" customHeight="1" x14ac:dyDescent="0.35">
      <c r="A36" s="47"/>
      <c r="B36" s="8" t="str">
        <v>Medical Bill</v>
      </c>
      <c r="C36" s="61">
        <f ca="1"/>
        <v>205.2</v>
      </c>
      <c r="D36" s="61">
        <f ca="1">IF(B36="","", ROUND(C36 * (VLOOKUP(B36, '💳 Debt Input'!$A$4:$G$9, 3, FALSE) / 12), 2))</f>
        <v>0.68</v>
      </c>
      <c r="E36" s="61" cm="1">
        <f t="array" aca="1" ref="E36" ca="1">IF(B36="","", ROUND(MIN(C36+D36, MAX(VLOOKUP(B36,'💳 Debt Input'!$A$4:$G$9,4,FALSE), $F$3 - IFERROR(SUM(OFFSET(E36, -MOD(ROW()-6, 6), 0, MOD(ROW()-6, 6))), 0) - IFERROR(SUM(SUMIF('💳 Debt Input'!$A$4:$A$9, OFFSET(B36, 1, 0, 5-MOD(ROW()-6, 6)), '💳 Debt Input'!$D$4:$D$9)), 0))), 2))</f>
        <v>75</v>
      </c>
      <c r="F36" s="61">
        <f t="shared" ca="1" si="1"/>
        <v>130.88</v>
      </c>
      <c r="G36" s="19" t="str">
        <f t="shared" ca="1" si="0"/>
        <v>Active</v>
      </c>
      <c r="H36" s="19"/>
      <c r="J36">
        <v>28</v>
      </c>
      <c r="K36">
        <f ca="1">SUM(F173:F178)</f>
        <v>20456.41</v>
      </c>
      <c r="L36">
        <f ca="1">SUM(D173:D178)</f>
        <v>551.05999999999995</v>
      </c>
      <c r="M36">
        <f ca="1">F178</f>
        <v>16000</v>
      </c>
    </row>
    <row r="37" spans="1:13" ht="18" customHeight="1" x14ac:dyDescent="0.35">
      <c r="A37" s="47"/>
      <c r="B37" s="8" t="str">
        <v>Personal Loan</v>
      </c>
      <c r="C37" s="61">
        <f ca="1"/>
        <v>1369.02</v>
      </c>
      <c r="D37" s="61">
        <f ca="1">IF(B37="","", ROUND(C37 * (VLOOKUP(B37, '💳 Debt Input'!$A$4:$G$9, 3, FALSE) / 12), 2))</f>
        <v>6.85</v>
      </c>
      <c r="E37" s="61" cm="1">
        <f t="array" aca="1" ref="E37" ca="1">IF(B37="","", ROUND(MIN(C37+D37, MAX(VLOOKUP(B37,'💳 Debt Input'!$A$4:$G$9,4,FALSE), $F$3 - IFERROR(SUM(OFFSET(E37, -MOD(ROW()-6, 6), 0, MOD(ROW()-6, 6))), 0) - IFERROR(SUM(SUMIF('💳 Debt Input'!$A$4:$A$9, OFFSET(B37, 1, 0, 5-MOD(ROW()-6, 6)), '💳 Debt Input'!$D$4:$D$9)), 0))), 2))</f>
        <v>40</v>
      </c>
      <c r="F37" s="61">
        <f t="shared" ca="1" si="1"/>
        <v>1335.87</v>
      </c>
      <c r="G37" s="19" t="str">
        <f t="shared" ca="1" si="0"/>
        <v>Active</v>
      </c>
      <c r="H37" s="19"/>
      <c r="J37">
        <v>29</v>
      </c>
      <c r="K37">
        <f ca="1">SUM(F179:F184)</f>
        <v>20017.52</v>
      </c>
      <c r="L37">
        <f ca="1">SUM(D179:D184)</f>
        <v>546.11</v>
      </c>
      <c r="M37">
        <f ca="1">F184</f>
        <v>16000</v>
      </c>
    </row>
    <row r="38" spans="1:13" ht="18" customHeight="1" x14ac:dyDescent="0.35">
      <c r="A38" s="47"/>
      <c r="B38" s="8" t="str">
        <v>Auto Loan</v>
      </c>
      <c r="C38" s="61">
        <f ca="1"/>
        <v>3648.97</v>
      </c>
      <c r="D38" s="61">
        <f ca="1">IF(B38="","", ROUND(C38 * (VLOOKUP(B38, '💳 Debt Input'!$A$4:$G$9, 3, FALSE) / 12), 2))</f>
        <v>30.41</v>
      </c>
      <c r="E38" s="61" cm="1">
        <f t="array" aca="1" ref="E38" ca="1">IF(B38="","", ROUND(MIN(C38+D38, MAX(VLOOKUP(B38,'💳 Debt Input'!$A$4:$G$9,4,FALSE), $F$3 - IFERROR(SUM(OFFSET(E38, -MOD(ROW()-6, 6), 0, MOD(ROW()-6, 6))), 0) - IFERROR(SUM(SUMIF('💳 Debt Input'!$A$4:$A$9, OFFSET(B38, 1, 0, 5-MOD(ROW()-6, 6)), '💳 Debt Input'!$D$4:$D$9)), 0))), 2))</f>
        <v>120</v>
      </c>
      <c r="F38" s="61">
        <f t="shared" ca="1" si="1"/>
        <v>3559.38</v>
      </c>
      <c r="G38" s="19" t="str">
        <f t="shared" ca="1" si="0"/>
        <v>Active</v>
      </c>
      <c r="H38" s="19"/>
      <c r="J38">
        <v>30</v>
      </c>
      <c r="K38">
        <f ca="1">SUM(F185:F190)</f>
        <v>19572.78</v>
      </c>
      <c r="L38">
        <f ca="1">SUM(D185:D190)</f>
        <v>540.26</v>
      </c>
      <c r="M38">
        <f ca="1">F190</f>
        <v>16000</v>
      </c>
    </row>
    <row r="39" spans="1:13" ht="18" customHeight="1" x14ac:dyDescent="0.35">
      <c r="A39" s="47"/>
      <c r="B39" s="8" t="str">
        <v>Travel Card</v>
      </c>
      <c r="C39" s="61">
        <f ca="1"/>
        <v>8447.73</v>
      </c>
      <c r="D39" s="61">
        <f ca="1">IF(B39="","", ROUND(C39 * (VLOOKUP(B39, '💳 Debt Input'!$A$4:$G$9, 3, FALSE) / 12), 2))</f>
        <v>126.72</v>
      </c>
      <c r="E39" s="61" cm="1">
        <f t="array" aca="1" ref="E39" ca="1">IF(B39="","", ROUND(MIN(C39+D39, MAX(VLOOKUP(B39,'💳 Debt Input'!$A$4:$G$9,4,FALSE), $F$3 - IFERROR(SUM(OFFSET(E39, -MOD(ROW()-6, 6), 0, MOD(ROW()-6, 6))), 0) - IFERROR(SUM(SUMIF('💳 Debt Input'!$A$4:$A$9, OFFSET(B39, 1, 0, 5-MOD(ROW()-6, 6)), '💳 Debt Input'!$D$4:$D$9)), 0))), 2))</f>
        <v>270</v>
      </c>
      <c r="F39" s="61">
        <f t="shared" ca="1" si="1"/>
        <v>8304.4500000000007</v>
      </c>
      <c r="G39" s="19" t="str">
        <f t="shared" ca="1" si="0"/>
        <v>Active</v>
      </c>
      <c r="H39" s="19"/>
      <c r="J39">
        <v>31</v>
      </c>
      <c r="K39">
        <f ca="1">SUM(F191:F196)</f>
        <v>19121.37</v>
      </c>
      <c r="L39">
        <f ca="1">SUM(D191:D196)</f>
        <v>533.59</v>
      </c>
      <c r="M39">
        <f ca="1">F196</f>
        <v>16000</v>
      </c>
    </row>
    <row r="40" spans="1:13" ht="18" customHeight="1" x14ac:dyDescent="0.35">
      <c r="A40" s="47"/>
      <c r="B40" s="8" t="str">
        <v>Rewards Visa</v>
      </c>
      <c r="C40" s="61">
        <f ca="1"/>
        <v>16000</v>
      </c>
      <c r="D40" s="61">
        <f ca="1">IF(B40="","", ROUND(C40 * (VLOOKUP(B40, '💳 Debt Input'!$A$4:$G$9, 3, FALSE) / 12), 2))</f>
        <v>480</v>
      </c>
      <c r="E40" s="61" cm="1">
        <f t="array" aca="1" ref="E40" ca="1">IF(B40="","", ROUND(MIN(C40+D40, MAX(VLOOKUP(B40,'💳 Debt Input'!$A$4:$G$9,4,FALSE), $F$3 - IFERROR(SUM(OFFSET(E40, -MOD(ROW()-6, 6), 0, MOD(ROW()-6, 6))), 0) - IFERROR(SUM(SUMIF('💳 Debt Input'!$A$4:$A$9, OFFSET(B40, 1, 0, 5-MOD(ROW()-6, 6)), '💳 Debt Input'!$D$4:$D$9)), 0))), 2))</f>
        <v>480</v>
      </c>
      <c r="F40" s="61">
        <f t="shared" ca="1" si="1"/>
        <v>16000</v>
      </c>
      <c r="G40" s="19" t="str">
        <f t="shared" ca="1" si="0"/>
        <v>Active</v>
      </c>
      <c r="H40" s="19"/>
      <c r="J40">
        <v>32</v>
      </c>
      <c r="K40">
        <f ca="1">SUM(F197:F202)</f>
        <v>18663.189999999999</v>
      </c>
      <c r="L40">
        <f ca="1">SUM(D197:D202)</f>
        <v>526.82000000000005</v>
      </c>
      <c r="M40">
        <f ca="1">F202</f>
        <v>16000</v>
      </c>
    </row>
    <row r="41" spans="1:13" ht="18" customHeight="1" x14ac:dyDescent="0.35">
      <c r="A41" s="48">
        <v>6</v>
      </c>
      <c r="B41" s="54" t="str" cm="1">
        <f t="array" ref="B41:B46">B35:B40</f>
        <v>Store Card</v>
      </c>
      <c r="C41" s="62" cm="1">
        <f t="array" aca="1" ref="C41:C46" ca="1">F35:F40</f>
        <v>0</v>
      </c>
      <c r="D41" s="62">
        <f ca="1">IF(B41="","", ROUND(C41 * (VLOOKUP(B41, '💳 Debt Input'!$A$4:$G$9, 3, FALSE) / 12), 2))</f>
        <v>0</v>
      </c>
      <c r="E41" s="62" cm="1">
        <f t="array" aca="1" ref="E41" ca="1">IF(B41="","", ROUND(MIN(C41+D41, MAX(VLOOKUP(B41,'💳 Debt Input'!$A$4:$G$9,4,FALSE), $F$3 - IFERROR(SUM(OFFSET(E41, -MOD(ROW()-6, 6), 0, MOD(ROW()-6, 6))), 0) - IFERROR(SUM(SUMIF('💳 Debt Input'!$A$4:$A$9, OFFSET(B41, 1, 0, 5-MOD(ROW()-6, 6)), '💳 Debt Input'!$D$4:$D$9)), 0))), 2))</f>
        <v>0</v>
      </c>
      <c r="F41" s="62">
        <f t="shared" ca="1" si="1"/>
        <v>0</v>
      </c>
      <c r="G41" s="21" t="str">
        <f t="shared" ca="1" si="0"/>
        <v>Paid off</v>
      </c>
      <c r="H41" s="21"/>
      <c r="J41">
        <v>33</v>
      </c>
      <c r="K41">
        <f ca="1">SUM(F203:F208)</f>
        <v>18198.14</v>
      </c>
      <c r="L41">
        <f ca="1">SUM(D203:D208)</f>
        <v>519.95000000000005</v>
      </c>
      <c r="M41">
        <f ca="1">F208</f>
        <v>16000</v>
      </c>
    </row>
    <row r="42" spans="1:13" ht="18" customHeight="1" x14ac:dyDescent="0.35">
      <c r="A42" s="49"/>
      <c r="B42" s="6" t="str">
        <v>Medical Bill</v>
      </c>
      <c r="C42" s="63">
        <f ca="1"/>
        <v>130.88</v>
      </c>
      <c r="D42" s="63">
        <f ca="1">IF(B42="","", ROUND(C42 * (VLOOKUP(B42, '💳 Debt Input'!$A$4:$G$9, 3, FALSE) / 12), 2))</f>
        <v>0.44</v>
      </c>
      <c r="E42" s="63" cm="1">
        <f t="array" aca="1" ref="E42" ca="1">IF(B42="","", ROUND(MIN(C42+D42, MAX(VLOOKUP(B42,'💳 Debt Input'!$A$4:$G$9,4,FALSE), $F$3 - IFERROR(SUM(OFFSET(E42, -MOD(ROW()-6, 6), 0, MOD(ROW()-6, 6))), 0) - IFERROR(SUM(SUMIF('💳 Debt Input'!$A$4:$A$9, OFFSET(B42, 1, 0, 5-MOD(ROW()-6, 6)), '💳 Debt Input'!$D$4:$D$9)), 0))), 2))</f>
        <v>75</v>
      </c>
      <c r="F42" s="63">
        <f t="shared" ca="1" si="1"/>
        <v>56.32</v>
      </c>
      <c r="G42" s="22" t="str">
        <f t="shared" ca="1" si="0"/>
        <v>Active</v>
      </c>
      <c r="H42" s="22"/>
      <c r="J42">
        <v>34</v>
      </c>
      <c r="K42">
        <f ca="1">SUM(F209:F214)</f>
        <v>17726.11</v>
      </c>
      <c r="L42">
        <f ca="1">SUM(D209:D214)</f>
        <v>512.97</v>
      </c>
      <c r="M42">
        <f ca="1">F214</f>
        <v>16000</v>
      </c>
    </row>
    <row r="43" spans="1:13" ht="18" customHeight="1" x14ac:dyDescent="0.35">
      <c r="A43" s="49"/>
      <c r="B43" s="6" t="str">
        <v>Personal Loan</v>
      </c>
      <c r="C43" s="63">
        <f ca="1"/>
        <v>1335.87</v>
      </c>
      <c r="D43" s="63">
        <f ca="1">IF(B43="","", ROUND(C43 * (VLOOKUP(B43, '💳 Debt Input'!$A$4:$G$9, 3, FALSE) / 12), 2))</f>
        <v>6.68</v>
      </c>
      <c r="E43" s="63" cm="1">
        <f t="array" aca="1" ref="E43" ca="1">IF(B43="","", ROUND(MIN(C43+D43, MAX(VLOOKUP(B43,'💳 Debt Input'!$A$4:$G$9,4,FALSE), $F$3 - IFERROR(SUM(OFFSET(E43, -MOD(ROW()-6, 6), 0, MOD(ROW()-6, 6))), 0) - IFERROR(SUM(SUMIF('💳 Debt Input'!$A$4:$A$9, OFFSET(B43, 1, 0, 5-MOD(ROW()-6, 6)), '💳 Debt Input'!$D$4:$D$9)), 0))), 2))</f>
        <v>40</v>
      </c>
      <c r="F43" s="63">
        <f t="shared" ca="1" si="1"/>
        <v>1302.55</v>
      </c>
      <c r="G43" s="22" t="str">
        <f t="shared" ca="1" si="0"/>
        <v>Active</v>
      </c>
      <c r="H43" s="22"/>
      <c r="J43">
        <v>35</v>
      </c>
      <c r="K43">
        <f ca="1">SUM(F215:F220)</f>
        <v>17247</v>
      </c>
      <c r="L43">
        <f ca="1">SUM(D215:D220)</f>
        <v>505.89</v>
      </c>
      <c r="M43">
        <f ca="1">F220</f>
        <v>16000</v>
      </c>
    </row>
    <row r="44" spans="1:13" ht="18" customHeight="1" x14ac:dyDescent="0.35">
      <c r="A44" s="49"/>
      <c r="B44" s="6" t="str">
        <v>Auto Loan</v>
      </c>
      <c r="C44" s="63">
        <f ca="1"/>
        <v>3559.38</v>
      </c>
      <c r="D44" s="63">
        <f ca="1">IF(B44="","", ROUND(C44 * (VLOOKUP(B44, '💳 Debt Input'!$A$4:$G$9, 3, FALSE) / 12), 2))</f>
        <v>29.66</v>
      </c>
      <c r="E44" s="63" cm="1">
        <f t="array" aca="1" ref="E44" ca="1">IF(B44="","", ROUND(MIN(C44+D44, MAX(VLOOKUP(B44,'💳 Debt Input'!$A$4:$G$9,4,FALSE), $F$3 - IFERROR(SUM(OFFSET(E44, -MOD(ROW()-6, 6), 0, MOD(ROW()-6, 6))), 0) - IFERROR(SUM(SUMIF('💳 Debt Input'!$A$4:$A$9, OFFSET(B44, 1, 0, 5-MOD(ROW()-6, 6)), '💳 Debt Input'!$D$4:$D$9)), 0))), 2))</f>
        <v>120</v>
      </c>
      <c r="F44" s="63">
        <f t="shared" ca="1" si="1"/>
        <v>3469.04</v>
      </c>
      <c r="G44" s="22" t="str">
        <f t="shared" ca="1" si="0"/>
        <v>Active</v>
      </c>
      <c r="H44" s="22"/>
      <c r="J44">
        <v>36</v>
      </c>
      <c r="K44">
        <f ca="1">SUM(F221:F226)</f>
        <v>16760.71</v>
      </c>
      <c r="L44">
        <f ca="1">SUM(D221:D226)</f>
        <v>498.71</v>
      </c>
      <c r="M44">
        <f ca="1">F226</f>
        <v>16000</v>
      </c>
    </row>
    <row r="45" spans="1:13" ht="18" customHeight="1" x14ac:dyDescent="0.35">
      <c r="A45" s="49"/>
      <c r="B45" s="6" t="str">
        <v>Travel Card</v>
      </c>
      <c r="C45" s="63">
        <f ca="1"/>
        <v>8304.4500000000007</v>
      </c>
      <c r="D45" s="63">
        <f ca="1">IF(B45="","", ROUND(C45 * (VLOOKUP(B45, '💳 Debt Input'!$A$4:$G$9, 3, FALSE) / 12), 2))</f>
        <v>124.57</v>
      </c>
      <c r="E45" s="63" cm="1">
        <f t="array" aca="1" ref="E45" ca="1">IF(B45="","", ROUND(MIN(C45+D45, MAX(VLOOKUP(B45,'💳 Debt Input'!$A$4:$G$9,4,FALSE), $F$3 - IFERROR(SUM(OFFSET(E45, -MOD(ROW()-6, 6), 0, MOD(ROW()-6, 6))), 0) - IFERROR(SUM(SUMIF('💳 Debt Input'!$A$4:$A$9, OFFSET(B45, 1, 0, 5-MOD(ROW()-6, 6)), '💳 Debt Input'!$D$4:$D$9)), 0))), 2))</f>
        <v>270</v>
      </c>
      <c r="F45" s="63">
        <f t="shared" ca="1" si="1"/>
        <v>8159.02</v>
      </c>
      <c r="G45" s="22" t="str">
        <f t="shared" ca="1" si="0"/>
        <v>Active</v>
      </c>
      <c r="H45" s="22"/>
      <c r="J45">
        <v>37</v>
      </c>
      <c r="K45">
        <f ca="1">SUM(F227:F232)</f>
        <v>16267.12</v>
      </c>
      <c r="L45">
        <f ca="1">SUM(D227:D232)</f>
        <v>491.41</v>
      </c>
      <c r="M45">
        <f ca="1">F232</f>
        <v>16000</v>
      </c>
    </row>
    <row r="46" spans="1:13" ht="18" customHeight="1" x14ac:dyDescent="0.35">
      <c r="A46" s="49"/>
      <c r="B46" s="6" t="str">
        <v>Rewards Visa</v>
      </c>
      <c r="C46" s="63">
        <f ca="1"/>
        <v>16000</v>
      </c>
      <c r="D46" s="63">
        <f ca="1">IF(B46="","", ROUND(C46 * (VLOOKUP(B46, '💳 Debt Input'!$A$4:$G$9, 3, FALSE) / 12), 2))</f>
        <v>480</v>
      </c>
      <c r="E46" s="63" cm="1">
        <f t="array" aca="1" ref="E46" ca="1">IF(B46="","", ROUND(MIN(C46+D46, MAX(VLOOKUP(B46,'💳 Debt Input'!$A$4:$G$9,4,FALSE), $F$3 - IFERROR(SUM(OFFSET(E46, -MOD(ROW()-6, 6), 0, MOD(ROW()-6, 6))), 0) - IFERROR(SUM(SUMIF('💳 Debt Input'!$A$4:$A$9, OFFSET(B46, 1, 0, 5-MOD(ROW()-6, 6)), '💳 Debt Input'!$D$4:$D$9)), 0))), 2))</f>
        <v>480</v>
      </c>
      <c r="F46" s="63">
        <f t="shared" ca="1" si="1"/>
        <v>16000</v>
      </c>
      <c r="G46" s="22" t="str">
        <f t="shared" ca="1" si="0"/>
        <v>Active</v>
      </c>
      <c r="H46" s="22"/>
      <c r="J46">
        <v>38</v>
      </c>
      <c r="K46">
        <f ca="1">SUM(F233:F238)</f>
        <v>15766.13</v>
      </c>
      <c r="L46">
        <f ca="1">SUM(D233:D238)</f>
        <v>484.01</v>
      </c>
      <c r="M46">
        <f ca="1">F238</f>
        <v>15766.13</v>
      </c>
    </row>
    <row r="47" spans="1:13" ht="18" customHeight="1" x14ac:dyDescent="0.35">
      <c r="A47" s="50">
        <v>7</v>
      </c>
      <c r="B47" s="55" t="str" cm="1">
        <f t="array" ref="B47:B52">B41:B46</f>
        <v>Store Card</v>
      </c>
      <c r="C47" s="64" cm="1">
        <f t="array" aca="1" ref="C47:C52" ca="1">F41:F46</f>
        <v>0</v>
      </c>
      <c r="D47" s="64">
        <f ca="1">IF(B47="","", ROUND(C47 * (VLOOKUP(B47, '💳 Debt Input'!$A$4:$G$9, 3, FALSE) / 12), 2))</f>
        <v>0</v>
      </c>
      <c r="E47" s="64" cm="1">
        <f t="array" aca="1" ref="E47" ca="1">IF(B47="","", ROUND(MIN(C47+D47, MAX(VLOOKUP(B47,'💳 Debt Input'!$A$4:$G$9,4,FALSE), $F$3 - IFERROR(SUM(OFFSET(E47, -MOD(ROW()-6, 6), 0, MOD(ROW()-6, 6))), 0) - IFERROR(SUM(SUMIF('💳 Debt Input'!$A$4:$A$9, OFFSET(B47, 1, 0, 5-MOD(ROW()-6, 6)), '💳 Debt Input'!$D$4:$D$9)), 0))), 2))</f>
        <v>0</v>
      </c>
      <c r="F47" s="64">
        <f t="shared" ca="1" si="1"/>
        <v>0</v>
      </c>
      <c r="G47" s="24" t="str">
        <f t="shared" ca="1" si="0"/>
        <v>Paid off</v>
      </c>
      <c r="H47" s="24"/>
      <c r="J47">
        <v>39</v>
      </c>
      <c r="K47">
        <f ca="1">SUM(F239:F244)</f>
        <v>15254.11</v>
      </c>
      <c r="L47">
        <f ca="1">SUM(D239:D244)</f>
        <v>472.98</v>
      </c>
      <c r="M47">
        <f ca="1">F244</f>
        <v>15254.11</v>
      </c>
    </row>
    <row r="48" spans="1:13" ht="18" customHeight="1" x14ac:dyDescent="0.35">
      <c r="A48" s="47"/>
      <c r="B48" s="8" t="str">
        <v>Medical Bill</v>
      </c>
      <c r="C48" s="61">
        <f ca="1"/>
        <v>56.32</v>
      </c>
      <c r="D48" s="61">
        <f ca="1">IF(B48="","", ROUND(C48 * (VLOOKUP(B48, '💳 Debt Input'!$A$4:$G$9, 3, FALSE) / 12), 2))</f>
        <v>0.19</v>
      </c>
      <c r="E48" s="61" cm="1">
        <f t="array" aca="1" ref="E48" ca="1">IF(B48="","", ROUND(MIN(C48+D48, MAX(VLOOKUP(B48,'💳 Debt Input'!$A$4:$G$9,4,FALSE), $F$3 - IFERROR(SUM(OFFSET(E48, -MOD(ROW()-6, 6), 0, MOD(ROW()-6, 6))), 0) - IFERROR(SUM(SUMIF('💳 Debt Input'!$A$4:$A$9, OFFSET(B48, 1, 0, 5-MOD(ROW()-6, 6)), '💳 Debt Input'!$D$4:$D$9)), 0))), 2))</f>
        <v>56.51</v>
      </c>
      <c r="F48" s="61">
        <f t="shared" ca="1" si="1"/>
        <v>0</v>
      </c>
      <c r="G48" s="19" t="str">
        <f t="shared" ca="1" si="0"/>
        <v>Paid off</v>
      </c>
      <c r="H48" s="19"/>
      <c r="J48">
        <v>40</v>
      </c>
      <c r="K48">
        <f ca="1">SUM(F245:F250)</f>
        <v>14726.73</v>
      </c>
      <c r="L48">
        <f ca="1">SUM(D245:D250)</f>
        <v>457.62</v>
      </c>
      <c r="M48">
        <f ca="1">F250</f>
        <v>14726.73</v>
      </c>
    </row>
    <row r="49" spans="1:13" ht="18" customHeight="1" x14ac:dyDescent="0.35">
      <c r="A49" s="47"/>
      <c r="B49" s="8" t="str">
        <v>Personal Loan</v>
      </c>
      <c r="C49" s="61">
        <f ca="1"/>
        <v>1302.55</v>
      </c>
      <c r="D49" s="61">
        <f ca="1">IF(B49="","", ROUND(C49 * (VLOOKUP(B49, '💳 Debt Input'!$A$4:$G$9, 3, FALSE) / 12), 2))</f>
        <v>6.51</v>
      </c>
      <c r="E49" s="61" cm="1">
        <f t="array" aca="1" ref="E49" ca="1">IF(B49="","", ROUND(MIN(C49+D49, MAX(VLOOKUP(B49,'💳 Debt Input'!$A$4:$G$9,4,FALSE), $F$3 - IFERROR(SUM(OFFSET(E49, -MOD(ROW()-6, 6), 0, MOD(ROW()-6, 6))), 0) - IFERROR(SUM(SUMIF('💳 Debt Input'!$A$4:$A$9, OFFSET(B49, 1, 0, 5-MOD(ROW()-6, 6)), '💳 Debt Input'!$D$4:$D$9)), 0))), 2))</f>
        <v>58.49</v>
      </c>
      <c r="F49" s="61">
        <f t="shared" ca="1" si="1"/>
        <v>1250.57</v>
      </c>
      <c r="G49" s="19" t="str">
        <f t="shared" ca="1" si="0"/>
        <v>Active</v>
      </c>
      <c r="H49" s="19"/>
      <c r="J49">
        <v>41</v>
      </c>
      <c r="K49">
        <f ca="1">SUM(F251:F256)</f>
        <v>14183.53</v>
      </c>
      <c r="L49">
        <f ca="1">SUM(D251:D256)</f>
        <v>441.8</v>
      </c>
      <c r="M49">
        <f ca="1">F256</f>
        <v>14183.53</v>
      </c>
    </row>
    <row r="50" spans="1:13" ht="18" customHeight="1" x14ac:dyDescent="0.35">
      <c r="A50" s="47"/>
      <c r="B50" s="8" t="str">
        <v>Auto Loan</v>
      </c>
      <c r="C50" s="61">
        <f ca="1"/>
        <v>3469.04</v>
      </c>
      <c r="D50" s="61">
        <f ca="1">IF(B50="","", ROUND(C50 * (VLOOKUP(B50, '💳 Debt Input'!$A$4:$G$9, 3, FALSE) / 12), 2))</f>
        <v>28.91</v>
      </c>
      <c r="E50" s="61" cm="1">
        <f t="array" aca="1" ref="E50" ca="1">IF(B50="","", ROUND(MIN(C50+D50, MAX(VLOOKUP(B50,'💳 Debt Input'!$A$4:$G$9,4,FALSE), $F$3 - IFERROR(SUM(OFFSET(E50, -MOD(ROW()-6, 6), 0, MOD(ROW()-6, 6))), 0) - IFERROR(SUM(SUMIF('💳 Debt Input'!$A$4:$A$9, OFFSET(B50, 1, 0, 5-MOD(ROW()-6, 6)), '💳 Debt Input'!$D$4:$D$9)), 0))), 2))</f>
        <v>120</v>
      </c>
      <c r="F50" s="61">
        <f t="shared" ca="1" si="1"/>
        <v>3377.95</v>
      </c>
      <c r="G50" s="19" t="str">
        <f t="shared" ca="1" si="0"/>
        <v>Active</v>
      </c>
      <c r="H50" s="19"/>
      <c r="J50">
        <v>42</v>
      </c>
      <c r="K50">
        <f ca="1">SUM(F257:F262)</f>
        <v>13624.04</v>
      </c>
      <c r="L50">
        <f ca="1">SUM(D257:D262)</f>
        <v>425.51</v>
      </c>
      <c r="M50">
        <f ca="1">F262</f>
        <v>13624.04</v>
      </c>
    </row>
    <row r="51" spans="1:13" ht="18" customHeight="1" x14ac:dyDescent="0.35">
      <c r="A51" s="47"/>
      <c r="B51" s="8" t="str">
        <v>Travel Card</v>
      </c>
      <c r="C51" s="61">
        <f ca="1"/>
        <v>8159.02</v>
      </c>
      <c r="D51" s="61">
        <f ca="1">IF(B51="","", ROUND(C51 * (VLOOKUP(B51, '💳 Debt Input'!$A$4:$G$9, 3, FALSE) / 12), 2))</f>
        <v>122.39</v>
      </c>
      <c r="E51" s="61" cm="1">
        <f t="array" aca="1" ref="E51" ca="1">IF(B51="","", ROUND(MIN(C51+D51, MAX(VLOOKUP(B51,'💳 Debt Input'!$A$4:$G$9,4,FALSE), $F$3 - IFERROR(SUM(OFFSET(E51, -MOD(ROW()-6, 6), 0, MOD(ROW()-6, 6))), 0) - IFERROR(SUM(SUMIF('💳 Debt Input'!$A$4:$A$9, OFFSET(B51, 1, 0, 5-MOD(ROW()-6, 6)), '💳 Debt Input'!$D$4:$D$9)), 0))), 2))</f>
        <v>270</v>
      </c>
      <c r="F51" s="61">
        <f t="shared" ca="1" si="1"/>
        <v>8011.41</v>
      </c>
      <c r="G51" s="19" t="str">
        <f t="shared" ca="1" si="0"/>
        <v>Active</v>
      </c>
      <c r="H51" s="19"/>
      <c r="J51">
        <v>43</v>
      </c>
      <c r="K51">
        <f ca="1">SUM(F263:F268)</f>
        <v>13047.76</v>
      </c>
      <c r="L51">
        <f ca="1">SUM(D263:D268)</f>
        <v>408.72</v>
      </c>
      <c r="M51">
        <f ca="1">F268</f>
        <v>13047.76</v>
      </c>
    </row>
    <row r="52" spans="1:13" ht="18" customHeight="1" x14ac:dyDescent="0.35">
      <c r="A52" s="47"/>
      <c r="B52" s="8" t="str">
        <v>Rewards Visa</v>
      </c>
      <c r="C52" s="61">
        <f ca="1"/>
        <v>16000</v>
      </c>
      <c r="D52" s="61">
        <f ca="1">IF(B52="","", ROUND(C52 * (VLOOKUP(B52, '💳 Debt Input'!$A$4:$G$9, 3, FALSE) / 12), 2))</f>
        <v>480</v>
      </c>
      <c r="E52" s="61" cm="1">
        <f t="array" aca="1" ref="E52" ca="1">IF(B52="","", ROUND(MIN(C52+D52, MAX(VLOOKUP(B52,'💳 Debt Input'!$A$4:$G$9,4,FALSE), $F$3 - IFERROR(SUM(OFFSET(E52, -MOD(ROW()-6, 6), 0, MOD(ROW()-6, 6))), 0) - IFERROR(SUM(SUMIF('💳 Debt Input'!$A$4:$A$9, OFFSET(B52, 1, 0, 5-MOD(ROW()-6, 6)), '💳 Debt Input'!$D$4:$D$9)), 0))), 2))</f>
        <v>480</v>
      </c>
      <c r="F52" s="61">
        <f t="shared" ca="1" si="1"/>
        <v>16000</v>
      </c>
      <c r="G52" s="19" t="str">
        <f t="shared" ca="1" si="0"/>
        <v>Active</v>
      </c>
      <c r="H52" s="19"/>
      <c r="J52">
        <v>44</v>
      </c>
      <c r="K52">
        <f ca="1">SUM(F269:F274)</f>
        <v>12454.19</v>
      </c>
      <c r="L52">
        <f ca="1">SUM(D269:D274)</f>
        <v>391.43</v>
      </c>
      <c r="M52">
        <f ca="1">F274</f>
        <v>12454.19</v>
      </c>
    </row>
    <row r="53" spans="1:13" ht="18" customHeight="1" x14ac:dyDescent="0.35">
      <c r="A53" s="48">
        <v>8</v>
      </c>
      <c r="B53" s="54" t="str" cm="1">
        <f t="array" ref="B53:B58">B47:B52</f>
        <v>Store Card</v>
      </c>
      <c r="C53" s="62" cm="1">
        <f t="array" aca="1" ref="C53:C58" ca="1">F47:F52</f>
        <v>0</v>
      </c>
      <c r="D53" s="62">
        <f ca="1">IF(B53="","", ROUND(C53 * (VLOOKUP(B53, '💳 Debt Input'!$A$4:$G$9, 3, FALSE) / 12), 2))</f>
        <v>0</v>
      </c>
      <c r="E53" s="62" cm="1">
        <f t="array" aca="1" ref="E53" ca="1">IF(B53="","", ROUND(MIN(C53+D53, MAX(VLOOKUP(B53,'💳 Debt Input'!$A$4:$G$9,4,FALSE), $F$3 - IFERROR(SUM(OFFSET(E53, -MOD(ROW()-6, 6), 0, MOD(ROW()-6, 6))), 0) - IFERROR(SUM(SUMIF('💳 Debt Input'!$A$4:$A$9, OFFSET(B53, 1, 0, 5-MOD(ROW()-6, 6)), '💳 Debt Input'!$D$4:$D$9)), 0))), 2))</f>
        <v>0</v>
      </c>
      <c r="F53" s="62">
        <f t="shared" ca="1" si="1"/>
        <v>0</v>
      </c>
      <c r="G53" s="21" t="str">
        <f t="shared" ca="1" si="0"/>
        <v>Paid off</v>
      </c>
      <c r="H53" s="21"/>
      <c r="J53">
        <v>45</v>
      </c>
      <c r="K53">
        <f ca="1">SUM(F275:F280)</f>
        <v>11842.82</v>
      </c>
      <c r="L53">
        <f ca="1">SUM(D275:D280)</f>
        <v>373.63</v>
      </c>
      <c r="M53">
        <f ca="1">F280</f>
        <v>11842.82</v>
      </c>
    </row>
    <row r="54" spans="1:13" ht="18" customHeight="1" x14ac:dyDescent="0.35">
      <c r="A54" s="49"/>
      <c r="B54" s="6" t="str">
        <v>Medical Bill</v>
      </c>
      <c r="C54" s="63">
        <f ca="1"/>
        <v>0</v>
      </c>
      <c r="D54" s="63">
        <f ca="1">IF(B54="","", ROUND(C54 * (VLOOKUP(B54, '💳 Debt Input'!$A$4:$G$9, 3, FALSE) / 12), 2))</f>
        <v>0</v>
      </c>
      <c r="E54" s="63" cm="1">
        <f t="array" aca="1" ref="E54" ca="1">IF(B54="","", ROUND(MIN(C54+D54, MAX(VLOOKUP(B54,'💳 Debt Input'!$A$4:$G$9,4,FALSE), $F$3 - IFERROR(SUM(OFFSET(E54, -MOD(ROW()-6, 6), 0, MOD(ROW()-6, 6))), 0) - IFERROR(SUM(SUMIF('💳 Debt Input'!$A$4:$A$9, OFFSET(B54, 1, 0, 5-MOD(ROW()-6, 6)), '💳 Debt Input'!$D$4:$D$9)), 0))), 2))</f>
        <v>0</v>
      </c>
      <c r="F54" s="63">
        <f t="shared" ca="1" si="1"/>
        <v>0</v>
      </c>
      <c r="G54" s="22" t="str">
        <f t="shared" ca="1" si="0"/>
        <v>Paid off</v>
      </c>
      <c r="H54" s="22"/>
      <c r="J54">
        <v>46</v>
      </c>
      <c r="K54">
        <f ca="1">SUM(F281:F286)</f>
        <v>11213.1</v>
      </c>
      <c r="L54">
        <f ca="1">SUM(D281:D286)</f>
        <v>355.28</v>
      </c>
      <c r="M54">
        <f ca="1">F286</f>
        <v>11213.1</v>
      </c>
    </row>
    <row r="55" spans="1:13" ht="18" customHeight="1" x14ac:dyDescent="0.35">
      <c r="A55" s="49"/>
      <c r="B55" s="6" t="str">
        <v>Personal Loan</v>
      </c>
      <c r="C55" s="63">
        <f ca="1"/>
        <v>1250.57</v>
      </c>
      <c r="D55" s="63">
        <f ca="1">IF(B55="","", ROUND(C55 * (VLOOKUP(B55, '💳 Debt Input'!$A$4:$G$9, 3, FALSE) / 12), 2))</f>
        <v>6.25</v>
      </c>
      <c r="E55" s="63" cm="1">
        <f t="array" aca="1" ref="E55" ca="1">IF(B55="","", ROUND(MIN(C55+D55, MAX(VLOOKUP(B55,'💳 Debt Input'!$A$4:$G$9,4,FALSE), $F$3 - IFERROR(SUM(OFFSET(E55, -MOD(ROW()-6, 6), 0, MOD(ROW()-6, 6))), 0) - IFERROR(SUM(SUMIF('💳 Debt Input'!$A$4:$A$9, OFFSET(B55, 1, 0, 5-MOD(ROW()-6, 6)), '💳 Debt Input'!$D$4:$D$9)), 0))), 2))</f>
        <v>115</v>
      </c>
      <c r="F55" s="63">
        <f t="shared" ca="1" si="1"/>
        <v>1141.82</v>
      </c>
      <c r="G55" s="22" t="str">
        <f t="shared" ca="1" si="0"/>
        <v>Active</v>
      </c>
      <c r="H55" s="22"/>
      <c r="J55">
        <v>47</v>
      </c>
      <c r="K55">
        <f ca="1">SUM(F287:F292)</f>
        <v>10564.49</v>
      </c>
      <c r="L55">
        <f ca="1">SUM(D287:D292)</f>
        <v>336.39</v>
      </c>
      <c r="M55">
        <f ca="1">F292</f>
        <v>10564.49</v>
      </c>
    </row>
    <row r="56" spans="1:13" ht="18" customHeight="1" x14ac:dyDescent="0.35">
      <c r="A56" s="49"/>
      <c r="B56" s="6" t="str">
        <v>Auto Loan</v>
      </c>
      <c r="C56" s="63">
        <f ca="1"/>
        <v>3377.95</v>
      </c>
      <c r="D56" s="63">
        <f ca="1">IF(B56="","", ROUND(C56 * (VLOOKUP(B56, '💳 Debt Input'!$A$4:$G$9, 3, FALSE) / 12), 2))</f>
        <v>28.15</v>
      </c>
      <c r="E56" s="63" cm="1">
        <f t="array" aca="1" ref="E56" ca="1">IF(B56="","", ROUND(MIN(C56+D56, MAX(VLOOKUP(B56,'💳 Debt Input'!$A$4:$G$9,4,FALSE), $F$3 - IFERROR(SUM(OFFSET(E56, -MOD(ROW()-6, 6), 0, MOD(ROW()-6, 6))), 0) - IFERROR(SUM(SUMIF('💳 Debt Input'!$A$4:$A$9, OFFSET(B56, 1, 0, 5-MOD(ROW()-6, 6)), '💳 Debt Input'!$D$4:$D$9)), 0))), 2))</f>
        <v>120</v>
      </c>
      <c r="F56" s="63">
        <f t="shared" ca="1" si="1"/>
        <v>3286.1</v>
      </c>
      <c r="G56" s="22" t="str">
        <f t="shared" ca="1" si="0"/>
        <v>Active</v>
      </c>
      <c r="H56" s="22"/>
      <c r="J56">
        <v>48</v>
      </c>
      <c r="K56">
        <f ca="1">SUM(F293:F298)</f>
        <v>9896.42</v>
      </c>
      <c r="L56">
        <f ca="1">SUM(D293:D298)</f>
        <v>316.93</v>
      </c>
      <c r="M56">
        <f ca="1">F298</f>
        <v>9896.42</v>
      </c>
    </row>
    <row r="57" spans="1:13" ht="18" customHeight="1" x14ac:dyDescent="0.35">
      <c r="A57" s="49"/>
      <c r="B57" s="6" t="str">
        <v>Travel Card</v>
      </c>
      <c r="C57" s="63">
        <f ca="1"/>
        <v>8011.41</v>
      </c>
      <c r="D57" s="63">
        <f ca="1">IF(B57="","", ROUND(C57 * (VLOOKUP(B57, '💳 Debt Input'!$A$4:$G$9, 3, FALSE) / 12), 2))</f>
        <v>120.17</v>
      </c>
      <c r="E57" s="63" cm="1">
        <f t="array" aca="1" ref="E57" ca="1">IF(B57="","", ROUND(MIN(C57+D57, MAX(VLOOKUP(B57,'💳 Debt Input'!$A$4:$G$9,4,FALSE), $F$3 - IFERROR(SUM(OFFSET(E57, -MOD(ROW()-6, 6), 0, MOD(ROW()-6, 6))), 0) - IFERROR(SUM(SUMIF('💳 Debt Input'!$A$4:$A$9, OFFSET(B57, 1, 0, 5-MOD(ROW()-6, 6)), '💳 Debt Input'!$D$4:$D$9)), 0))), 2))</f>
        <v>270</v>
      </c>
      <c r="F57" s="63">
        <f t="shared" ca="1" si="1"/>
        <v>7861.58</v>
      </c>
      <c r="G57" s="22" t="str">
        <f t="shared" ca="1" si="0"/>
        <v>Active</v>
      </c>
      <c r="H57" s="22"/>
      <c r="J57">
        <v>49</v>
      </c>
      <c r="K57">
        <f ca="1">SUM(F299:F304)</f>
        <v>9208.31</v>
      </c>
      <c r="L57">
        <f ca="1">SUM(D299:D304)</f>
        <v>296.89</v>
      </c>
      <c r="M57">
        <f ca="1">F304</f>
        <v>9208.31</v>
      </c>
    </row>
    <row r="58" spans="1:13" ht="18" customHeight="1" x14ac:dyDescent="0.35">
      <c r="A58" s="49"/>
      <c r="B58" s="6" t="str">
        <v>Rewards Visa</v>
      </c>
      <c r="C58" s="63">
        <f ca="1"/>
        <v>16000</v>
      </c>
      <c r="D58" s="63">
        <f ca="1">IF(B58="","", ROUND(C58 * (VLOOKUP(B58, '💳 Debt Input'!$A$4:$G$9, 3, FALSE) / 12), 2))</f>
        <v>480</v>
      </c>
      <c r="E58" s="63" cm="1">
        <f t="array" aca="1" ref="E58" ca="1">IF(B58="","", ROUND(MIN(C58+D58, MAX(VLOOKUP(B58,'💳 Debt Input'!$A$4:$G$9,4,FALSE), $F$3 - IFERROR(SUM(OFFSET(E58, -MOD(ROW()-6, 6), 0, MOD(ROW()-6, 6))), 0) - IFERROR(SUM(SUMIF('💳 Debt Input'!$A$4:$A$9, OFFSET(B58, 1, 0, 5-MOD(ROW()-6, 6)), '💳 Debt Input'!$D$4:$D$9)), 0))), 2))</f>
        <v>480</v>
      </c>
      <c r="F58" s="63">
        <f t="shared" ca="1" si="1"/>
        <v>16000</v>
      </c>
      <c r="G58" s="22" t="str">
        <f t="shared" ca="1" si="0"/>
        <v>Active</v>
      </c>
      <c r="H58" s="22"/>
      <c r="J58">
        <v>50</v>
      </c>
      <c r="K58">
        <f ca="1">SUM(F305:F310)</f>
        <v>8499.56</v>
      </c>
      <c r="L58">
        <f ca="1">SUM(D305:D310)</f>
        <v>276.25</v>
      </c>
      <c r="M58">
        <f ca="1">F310</f>
        <v>8499.56</v>
      </c>
    </row>
    <row r="59" spans="1:13" ht="18" customHeight="1" x14ac:dyDescent="0.35">
      <c r="A59" s="51">
        <v>9</v>
      </c>
      <c r="B59" s="56" t="str" cm="1">
        <f t="array" ref="B59:B64">B53:B58</f>
        <v>Store Card</v>
      </c>
      <c r="C59" s="65" cm="1">
        <f t="array" aca="1" ref="C59:C64" ca="1">F53:F58</f>
        <v>0</v>
      </c>
      <c r="D59" s="65">
        <f ca="1">IF(B59="","", ROUND(C59 * (VLOOKUP(B59, '💳 Debt Input'!$A$4:$G$9, 3, FALSE) / 12), 2))</f>
        <v>0</v>
      </c>
      <c r="E59" s="65" cm="1">
        <f t="array" aca="1" ref="E59" ca="1">IF(B59="","", ROUND(MIN(C59+D59, MAX(VLOOKUP(B59,'💳 Debt Input'!$A$4:$G$9,4,FALSE), $F$3 - IFERROR(SUM(OFFSET(E59, -MOD(ROW()-6, 6), 0, MOD(ROW()-6, 6))), 0) - IFERROR(SUM(SUMIF('💳 Debt Input'!$A$4:$A$9, OFFSET(B59, 1, 0, 5-MOD(ROW()-6, 6)), '💳 Debt Input'!$D$4:$D$9)), 0))), 2))</f>
        <v>0</v>
      </c>
      <c r="F59" s="65">
        <f t="shared" ca="1" si="1"/>
        <v>0</v>
      </c>
      <c r="G59" s="25" t="str">
        <f t="shared" ca="1" si="0"/>
        <v>Paid off</v>
      </c>
      <c r="H59" s="25"/>
      <c r="J59">
        <v>51</v>
      </c>
      <c r="K59">
        <f ca="1">SUM(F311:F316)</f>
        <v>7769.55</v>
      </c>
      <c r="L59">
        <f ca="1">SUM(D311:D316)</f>
        <v>254.99</v>
      </c>
      <c r="M59">
        <f ca="1">F316</f>
        <v>7769.55</v>
      </c>
    </row>
    <row r="60" spans="1:13" ht="18" customHeight="1" x14ac:dyDescent="0.35">
      <c r="A60" s="47"/>
      <c r="B60" s="8" t="str">
        <v>Medical Bill</v>
      </c>
      <c r="C60" s="61">
        <f ca="1"/>
        <v>0</v>
      </c>
      <c r="D60" s="61">
        <f ca="1">IF(B60="","", ROUND(C60 * (VLOOKUP(B60, '💳 Debt Input'!$A$4:$G$9, 3, FALSE) / 12), 2))</f>
        <v>0</v>
      </c>
      <c r="E60" s="61" cm="1">
        <f t="array" aca="1" ref="E60" ca="1">IF(B60="","", ROUND(MIN(C60+D60, MAX(VLOOKUP(B60,'💳 Debt Input'!$A$4:$G$9,4,FALSE), $F$3 - IFERROR(SUM(OFFSET(E60, -MOD(ROW()-6, 6), 0, MOD(ROW()-6, 6))), 0) - IFERROR(SUM(SUMIF('💳 Debt Input'!$A$4:$A$9, OFFSET(B60, 1, 0, 5-MOD(ROW()-6, 6)), '💳 Debt Input'!$D$4:$D$9)), 0))), 2))</f>
        <v>0</v>
      </c>
      <c r="F60" s="61">
        <f t="shared" ca="1" si="1"/>
        <v>0</v>
      </c>
      <c r="G60" s="19" t="str">
        <f t="shared" ca="1" si="0"/>
        <v>Paid off</v>
      </c>
      <c r="H60" s="19"/>
      <c r="J60">
        <v>52</v>
      </c>
      <c r="K60">
        <f ca="1">SUM(F317:F322)</f>
        <v>7017.64</v>
      </c>
      <c r="L60">
        <f ca="1">SUM(D317:D322)</f>
        <v>233.09</v>
      </c>
      <c r="M60">
        <f ca="1">F322</f>
        <v>7017.64</v>
      </c>
    </row>
    <row r="61" spans="1:13" ht="18" customHeight="1" x14ac:dyDescent="0.35">
      <c r="A61" s="47"/>
      <c r="B61" s="8" t="str">
        <v>Personal Loan</v>
      </c>
      <c r="C61" s="61">
        <f ca="1"/>
        <v>1141.82</v>
      </c>
      <c r="D61" s="61">
        <f ca="1">IF(B61="","", ROUND(C61 * (VLOOKUP(B61, '💳 Debt Input'!$A$4:$G$9, 3, FALSE) / 12), 2))</f>
        <v>5.71</v>
      </c>
      <c r="E61" s="61" cm="1">
        <f t="array" aca="1" ref="E61" ca="1">IF(B61="","", ROUND(MIN(C61+D61, MAX(VLOOKUP(B61,'💳 Debt Input'!$A$4:$G$9,4,FALSE), $F$3 - IFERROR(SUM(OFFSET(E61, -MOD(ROW()-6, 6), 0, MOD(ROW()-6, 6))), 0) - IFERROR(SUM(SUMIF('💳 Debt Input'!$A$4:$A$9, OFFSET(B61, 1, 0, 5-MOD(ROW()-6, 6)), '💳 Debt Input'!$D$4:$D$9)), 0))), 2))</f>
        <v>115</v>
      </c>
      <c r="F61" s="61">
        <f t="shared" ca="1" si="1"/>
        <v>1032.53</v>
      </c>
      <c r="G61" s="19" t="str">
        <f t="shared" ca="1" si="0"/>
        <v>Active</v>
      </c>
      <c r="H61" s="19"/>
      <c r="J61">
        <v>53</v>
      </c>
      <c r="K61">
        <f ca="1">SUM(F323:F328)</f>
        <v>6243.17</v>
      </c>
      <c r="L61">
        <f ca="1">SUM(D323:D328)</f>
        <v>210.53</v>
      </c>
      <c r="M61">
        <f ca="1">F328</f>
        <v>6243.17</v>
      </c>
    </row>
    <row r="62" spans="1:13" ht="18" customHeight="1" x14ac:dyDescent="0.35">
      <c r="A62" s="47"/>
      <c r="B62" s="8" t="str">
        <v>Auto Loan</v>
      </c>
      <c r="C62" s="61">
        <f ca="1"/>
        <v>3286.1</v>
      </c>
      <c r="D62" s="61">
        <f ca="1">IF(B62="","", ROUND(C62 * (VLOOKUP(B62, '💳 Debt Input'!$A$4:$G$9, 3, FALSE) / 12), 2))</f>
        <v>27.38</v>
      </c>
      <c r="E62" s="61" cm="1">
        <f t="array" aca="1" ref="E62" ca="1">IF(B62="","", ROUND(MIN(C62+D62, MAX(VLOOKUP(B62,'💳 Debt Input'!$A$4:$G$9,4,FALSE), $F$3 - IFERROR(SUM(OFFSET(E62, -MOD(ROW()-6, 6), 0, MOD(ROW()-6, 6))), 0) - IFERROR(SUM(SUMIF('💳 Debt Input'!$A$4:$A$9, OFFSET(B62, 1, 0, 5-MOD(ROW()-6, 6)), '💳 Debt Input'!$D$4:$D$9)), 0))), 2))</f>
        <v>120</v>
      </c>
      <c r="F62" s="61">
        <f t="shared" ca="1" si="1"/>
        <v>3193.48</v>
      </c>
      <c r="G62" s="19" t="str">
        <f t="shared" ca="1" si="0"/>
        <v>Active</v>
      </c>
      <c r="H62" s="19"/>
      <c r="J62">
        <v>54</v>
      </c>
      <c r="K62">
        <f ca="1">SUM(F329:F334)</f>
        <v>5445.47</v>
      </c>
      <c r="L62">
        <f ca="1">SUM(D329:D334)</f>
        <v>187.3</v>
      </c>
      <c r="M62">
        <f ca="1">F334</f>
        <v>5445.47</v>
      </c>
    </row>
    <row r="63" spans="1:13" ht="18" customHeight="1" x14ac:dyDescent="0.35">
      <c r="A63" s="47"/>
      <c r="B63" s="8" t="str">
        <v>Travel Card</v>
      </c>
      <c r="C63" s="61">
        <f ca="1"/>
        <v>7861.58</v>
      </c>
      <c r="D63" s="61">
        <f ca="1">IF(B63="","", ROUND(C63 * (VLOOKUP(B63, '💳 Debt Input'!$A$4:$G$9, 3, FALSE) / 12), 2))</f>
        <v>117.92</v>
      </c>
      <c r="E63" s="61" cm="1">
        <f t="array" aca="1" ref="E63" ca="1">IF(B63="","", ROUND(MIN(C63+D63, MAX(VLOOKUP(B63,'💳 Debt Input'!$A$4:$G$9,4,FALSE), $F$3 - IFERROR(SUM(OFFSET(E63, -MOD(ROW()-6, 6), 0, MOD(ROW()-6, 6))), 0) - IFERROR(SUM(SUMIF('💳 Debt Input'!$A$4:$A$9, OFFSET(B63, 1, 0, 5-MOD(ROW()-6, 6)), '💳 Debt Input'!$D$4:$D$9)), 0))), 2))</f>
        <v>270</v>
      </c>
      <c r="F63" s="61">
        <f t="shared" ca="1" si="1"/>
        <v>7709.5</v>
      </c>
      <c r="G63" s="19" t="str">
        <f t="shared" ca="1" si="0"/>
        <v>Active</v>
      </c>
      <c r="H63" s="19"/>
      <c r="J63">
        <v>55</v>
      </c>
      <c r="K63">
        <f ca="1">SUM(F335:F340)</f>
        <v>4623.83</v>
      </c>
      <c r="L63">
        <f ca="1">SUM(D335:D340)</f>
        <v>163.36000000000001</v>
      </c>
      <c r="M63">
        <f ca="1">F340</f>
        <v>4623.83</v>
      </c>
    </row>
    <row r="64" spans="1:13" ht="18" customHeight="1" x14ac:dyDescent="0.35">
      <c r="A64" s="47"/>
      <c r="B64" s="8" t="str">
        <v>Rewards Visa</v>
      </c>
      <c r="C64" s="61">
        <f ca="1"/>
        <v>16000</v>
      </c>
      <c r="D64" s="61">
        <f ca="1">IF(B64="","", ROUND(C64 * (VLOOKUP(B64, '💳 Debt Input'!$A$4:$G$9, 3, FALSE) / 12), 2))</f>
        <v>480</v>
      </c>
      <c r="E64" s="61" cm="1">
        <f t="array" aca="1" ref="E64" ca="1">IF(B64="","", ROUND(MIN(C64+D64, MAX(VLOOKUP(B64,'💳 Debt Input'!$A$4:$G$9,4,FALSE), $F$3 - IFERROR(SUM(OFFSET(E64, -MOD(ROW()-6, 6), 0, MOD(ROW()-6, 6))), 0) - IFERROR(SUM(SUMIF('💳 Debt Input'!$A$4:$A$9, OFFSET(B64, 1, 0, 5-MOD(ROW()-6, 6)), '💳 Debt Input'!$D$4:$D$9)), 0))), 2))</f>
        <v>480</v>
      </c>
      <c r="F64" s="61">
        <f t="shared" ca="1" si="1"/>
        <v>16000</v>
      </c>
      <c r="G64" s="19" t="str">
        <f t="shared" ca="1" si="0"/>
        <v>Active</v>
      </c>
      <c r="H64" s="19"/>
      <c r="J64">
        <v>56</v>
      </c>
      <c r="K64">
        <f ca="1">SUM(F341:F346)</f>
        <v>3777.54</v>
      </c>
      <c r="L64">
        <f ca="1">SUM(D341:D346)</f>
        <v>138.71</v>
      </c>
      <c r="M64">
        <f ca="1">F346</f>
        <v>3777.54</v>
      </c>
    </row>
    <row r="65" spans="1:13" ht="18" customHeight="1" x14ac:dyDescent="0.35">
      <c r="A65" s="51">
        <v>10</v>
      </c>
      <c r="B65" s="56" t="str" cm="1">
        <f t="array" ref="B65:B70">B59:B64</f>
        <v>Store Card</v>
      </c>
      <c r="C65" s="65" cm="1">
        <f t="array" aca="1" ref="C65:C70" ca="1">F59:F64</f>
        <v>0</v>
      </c>
      <c r="D65" s="65">
        <f ca="1">IF(B65="","", ROUND(C65 * (VLOOKUP(B65, '💳 Debt Input'!$A$4:$G$9, 3, FALSE) / 12), 2))</f>
        <v>0</v>
      </c>
      <c r="E65" s="65" cm="1">
        <f t="array" aca="1" ref="E65" ca="1">IF(B65="","", ROUND(MIN(C65+D65, MAX(VLOOKUP(B65,'💳 Debt Input'!$A$4:$G$9,4,FALSE), $F$3 - IFERROR(SUM(OFFSET(E65, -MOD(ROW()-6, 6), 0, MOD(ROW()-6, 6))), 0) - IFERROR(SUM(SUMIF('💳 Debt Input'!$A$4:$A$9, OFFSET(B65, 1, 0, 5-MOD(ROW()-6, 6)), '💳 Debt Input'!$D$4:$D$9)), 0))), 2))</f>
        <v>0</v>
      </c>
      <c r="F65" s="65">
        <f t="shared" ca="1" si="1"/>
        <v>0</v>
      </c>
      <c r="G65" s="25" t="str">
        <f t="shared" ca="1" si="0"/>
        <v>Paid off</v>
      </c>
      <c r="H65" s="25"/>
      <c r="J65">
        <v>57</v>
      </c>
      <c r="K65">
        <f ca="1">SUM(F347:F352)</f>
        <v>2905.87</v>
      </c>
      <c r="L65">
        <f ca="1">SUM(D347:D352)</f>
        <v>113.33</v>
      </c>
      <c r="M65">
        <f ca="1">F352</f>
        <v>2905.87</v>
      </c>
    </row>
    <row r="66" spans="1:13" ht="18" customHeight="1" x14ac:dyDescent="0.35">
      <c r="A66" s="49"/>
      <c r="B66" s="6" t="str">
        <v>Medical Bill</v>
      </c>
      <c r="C66" s="63">
        <f ca="1"/>
        <v>0</v>
      </c>
      <c r="D66" s="63">
        <f ca="1">IF(B66="","", ROUND(C66 * (VLOOKUP(B66, '💳 Debt Input'!$A$4:$G$9, 3, FALSE) / 12), 2))</f>
        <v>0</v>
      </c>
      <c r="E66" s="63" cm="1">
        <f t="array" aca="1" ref="E66" ca="1">IF(B66="","", ROUND(MIN(C66+D66, MAX(VLOOKUP(B66,'💳 Debt Input'!$A$4:$G$9,4,FALSE), $F$3 - IFERROR(SUM(OFFSET(E66, -MOD(ROW()-6, 6), 0, MOD(ROW()-6, 6))), 0) - IFERROR(SUM(SUMIF('💳 Debt Input'!$A$4:$A$9, OFFSET(B66, 1, 0, 5-MOD(ROW()-6, 6)), '💳 Debt Input'!$D$4:$D$9)), 0))), 2))</f>
        <v>0</v>
      </c>
      <c r="F66" s="63">
        <f t="shared" ca="1" si="1"/>
        <v>0</v>
      </c>
      <c r="G66" s="22" t="str">
        <f t="shared" ca="1" si="0"/>
        <v>Paid off</v>
      </c>
      <c r="H66" s="22"/>
      <c r="J66">
        <v>58</v>
      </c>
      <c r="K66">
        <f ca="1">SUM(F353:F358)</f>
        <v>2008.05</v>
      </c>
      <c r="L66">
        <f ca="1">SUM(D353:D358)</f>
        <v>87.18</v>
      </c>
      <c r="M66">
        <f ca="1">F358</f>
        <v>2008.05</v>
      </c>
    </row>
    <row r="67" spans="1:13" ht="18" customHeight="1" x14ac:dyDescent="0.35">
      <c r="A67" s="49"/>
      <c r="B67" s="6" t="str">
        <v>Personal Loan</v>
      </c>
      <c r="C67" s="63">
        <f ca="1"/>
        <v>1032.53</v>
      </c>
      <c r="D67" s="63">
        <f ca="1">IF(B67="","", ROUND(C67 * (VLOOKUP(B67, '💳 Debt Input'!$A$4:$G$9, 3, FALSE) / 12), 2))</f>
        <v>5.16</v>
      </c>
      <c r="E67" s="63" cm="1">
        <f t="array" aca="1" ref="E67" ca="1">IF(B67="","", ROUND(MIN(C67+D67, MAX(VLOOKUP(B67,'💳 Debt Input'!$A$4:$G$9,4,FALSE), $F$3 - IFERROR(SUM(OFFSET(E67, -MOD(ROW()-6, 6), 0, MOD(ROW()-6, 6))), 0) - IFERROR(SUM(SUMIF('💳 Debt Input'!$A$4:$A$9, OFFSET(B67, 1, 0, 5-MOD(ROW()-6, 6)), '💳 Debt Input'!$D$4:$D$9)), 0))), 2))</f>
        <v>115</v>
      </c>
      <c r="F67" s="63">
        <f t="shared" ca="1" si="1"/>
        <v>922.69</v>
      </c>
      <c r="G67" s="22" t="str">
        <f t="shared" ca="1" si="0"/>
        <v>Active</v>
      </c>
      <c r="H67" s="22"/>
      <c r="J67">
        <v>59</v>
      </c>
      <c r="K67">
        <f ca="1">SUM(F359:F364)</f>
        <v>1083.29</v>
      </c>
      <c r="L67">
        <f ca="1">SUM(D359:D364)</f>
        <v>60.24</v>
      </c>
      <c r="M67">
        <f ca="1">F364</f>
        <v>1083.29</v>
      </c>
    </row>
    <row r="68" spans="1:13" ht="18" customHeight="1" x14ac:dyDescent="0.35">
      <c r="A68" s="49"/>
      <c r="B68" s="6" t="str">
        <v>Auto Loan</v>
      </c>
      <c r="C68" s="63">
        <f ca="1"/>
        <v>3193.48</v>
      </c>
      <c r="D68" s="63">
        <f ca="1">IF(B68="","", ROUND(C68 * (VLOOKUP(B68, '💳 Debt Input'!$A$4:$G$9, 3, FALSE) / 12), 2))</f>
        <v>26.61</v>
      </c>
      <c r="E68" s="63" cm="1">
        <f t="array" aca="1" ref="E68" ca="1">IF(B68="","", ROUND(MIN(C68+D68, MAX(VLOOKUP(B68,'💳 Debt Input'!$A$4:$G$9,4,FALSE), $F$3 - IFERROR(SUM(OFFSET(E68, -MOD(ROW()-6, 6), 0, MOD(ROW()-6, 6))), 0) - IFERROR(SUM(SUMIF('💳 Debt Input'!$A$4:$A$9, OFFSET(B68, 1, 0, 5-MOD(ROW()-6, 6)), '💳 Debt Input'!$D$4:$D$9)), 0))), 2))</f>
        <v>120</v>
      </c>
      <c r="F68" s="63">
        <f t="shared" ca="1" si="1"/>
        <v>3100.09</v>
      </c>
      <c r="G68" s="22" t="str">
        <f t="shared" ca="1" si="0"/>
        <v>Active</v>
      </c>
      <c r="H68" s="22"/>
      <c r="J68">
        <v>60</v>
      </c>
      <c r="K68">
        <f ca="1">SUM(F365:F370)</f>
        <v>130.79</v>
      </c>
      <c r="L68">
        <f ca="1">SUM(D365:D370)</f>
        <v>32.5</v>
      </c>
      <c r="M68">
        <f ca="1">F370</f>
        <v>130.79</v>
      </c>
    </row>
    <row r="69" spans="1:13" ht="18" customHeight="1" x14ac:dyDescent="0.35">
      <c r="A69" s="49"/>
      <c r="B69" s="6" t="str">
        <v>Travel Card</v>
      </c>
      <c r="C69" s="63">
        <f ca="1"/>
        <v>7709.5</v>
      </c>
      <c r="D69" s="63">
        <f ca="1">IF(B69="","", ROUND(C69 * (VLOOKUP(B69, '💳 Debt Input'!$A$4:$G$9, 3, FALSE) / 12), 2))</f>
        <v>115.64</v>
      </c>
      <c r="E69" s="63" cm="1">
        <f t="array" aca="1" ref="E69" ca="1">IF(B69="","", ROUND(MIN(C69+D69, MAX(VLOOKUP(B69,'💳 Debt Input'!$A$4:$G$9,4,FALSE), $F$3 - IFERROR(SUM(OFFSET(E69, -MOD(ROW()-6, 6), 0, MOD(ROW()-6, 6))), 0) - IFERROR(SUM(SUMIF('💳 Debt Input'!$A$4:$A$9, OFFSET(B69, 1, 0, 5-MOD(ROW()-6, 6)), '💳 Debt Input'!$D$4:$D$9)), 0))), 2))</f>
        <v>270</v>
      </c>
      <c r="F69" s="63">
        <f t="shared" ca="1" si="1"/>
        <v>7555.14</v>
      </c>
      <c r="G69" s="22" t="str">
        <f t="shared" ca="1" si="0"/>
        <v>Active</v>
      </c>
      <c r="H69" s="22"/>
      <c r="J69">
        <v>61</v>
      </c>
      <c r="K69">
        <f ca="1">SUM(F371:F376)</f>
        <v>0</v>
      </c>
      <c r="L69">
        <f ca="1">SUM(D371:D376)</f>
        <v>3.92</v>
      </c>
      <c r="M69">
        <f ca="1">F376</f>
        <v>0</v>
      </c>
    </row>
    <row r="70" spans="1:13" ht="18" customHeight="1" x14ac:dyDescent="0.35">
      <c r="A70" s="49"/>
      <c r="B70" s="6" t="str">
        <v>Rewards Visa</v>
      </c>
      <c r="C70" s="63">
        <f ca="1"/>
        <v>16000</v>
      </c>
      <c r="D70" s="63">
        <f ca="1">IF(B70="","", ROUND(C70 * (VLOOKUP(B70, '💳 Debt Input'!$A$4:$G$9, 3, FALSE) / 12), 2))</f>
        <v>480</v>
      </c>
      <c r="E70" s="63" cm="1">
        <f t="array" aca="1" ref="E70" ca="1">IF(B70="","", ROUND(MIN(C70+D70, MAX(VLOOKUP(B70,'💳 Debt Input'!$A$4:$G$9,4,FALSE), $F$3 - IFERROR(SUM(OFFSET(E70, -MOD(ROW()-6, 6), 0, MOD(ROW()-6, 6))), 0) - IFERROR(SUM(SUMIF('💳 Debt Input'!$A$4:$A$9, OFFSET(B70, 1, 0, 5-MOD(ROW()-6, 6)), '💳 Debt Input'!$D$4:$D$9)), 0))), 2))</f>
        <v>480</v>
      </c>
      <c r="F70" s="63">
        <f t="shared" ca="1" si="1"/>
        <v>16000</v>
      </c>
      <c r="G70" s="22" t="str">
        <f t="shared" ca="1" si="0"/>
        <v>Active</v>
      </c>
      <c r="H70" s="22"/>
      <c r="J70">
        <v>62</v>
      </c>
      <c r="K70">
        <f ca="1">SUM(F377:F382)</f>
        <v>0</v>
      </c>
      <c r="L70">
        <f ca="1">SUM(D377:D382)</f>
        <v>0</v>
      </c>
      <c r="M70">
        <f ca="1">F382</f>
        <v>0</v>
      </c>
    </row>
    <row r="71" spans="1:13" ht="18" customHeight="1" x14ac:dyDescent="0.35">
      <c r="A71" s="51">
        <v>11</v>
      </c>
      <c r="B71" s="56" t="str" cm="1">
        <f t="array" ref="B71:B76">B65:B70</f>
        <v>Store Card</v>
      </c>
      <c r="C71" s="65" cm="1">
        <f t="array" aca="1" ref="C71:C76" ca="1">F65:F70</f>
        <v>0</v>
      </c>
      <c r="D71" s="65">
        <f ca="1">IF(B71="","", ROUND(C71 * (VLOOKUP(B71, '💳 Debt Input'!$A$4:$G$9, 3, FALSE) / 12), 2))</f>
        <v>0</v>
      </c>
      <c r="E71" s="65" cm="1">
        <f t="array" aca="1" ref="E71" ca="1">IF(B71="","", ROUND(MIN(C71+D71, MAX(VLOOKUP(B71,'💳 Debt Input'!$A$4:$G$9,4,FALSE), $F$3 - IFERROR(SUM(OFFSET(E71, -MOD(ROW()-6, 6), 0, MOD(ROW()-6, 6))), 0) - IFERROR(SUM(SUMIF('💳 Debt Input'!$A$4:$A$9, OFFSET(B71, 1, 0, 5-MOD(ROW()-6, 6)), '💳 Debt Input'!$D$4:$D$9)), 0))), 2))</f>
        <v>0</v>
      </c>
      <c r="F71" s="65">
        <f t="shared" ca="1" si="1"/>
        <v>0</v>
      </c>
      <c r="G71" s="25" t="str">
        <f t="shared" ca="1" si="0"/>
        <v>Paid off</v>
      </c>
      <c r="H71" s="25"/>
      <c r="J71">
        <v>63</v>
      </c>
      <c r="K71">
        <f ca="1">SUM(F383:F388)</f>
        <v>0</v>
      </c>
      <c r="L71">
        <f ca="1">SUM(D383:D388)</f>
        <v>0</v>
      </c>
      <c r="M71">
        <f ca="1">F388</f>
        <v>0</v>
      </c>
    </row>
    <row r="72" spans="1:13" ht="18" customHeight="1" x14ac:dyDescent="0.35">
      <c r="A72" s="47"/>
      <c r="B72" s="8" t="str">
        <v>Medical Bill</v>
      </c>
      <c r="C72" s="61">
        <f ca="1"/>
        <v>0</v>
      </c>
      <c r="D72" s="61">
        <f ca="1">IF(B72="","", ROUND(C72 * (VLOOKUP(B72, '💳 Debt Input'!$A$4:$G$9, 3, FALSE) / 12), 2))</f>
        <v>0</v>
      </c>
      <c r="E72" s="61" cm="1">
        <f t="array" aca="1" ref="E72" ca="1">IF(B72="","", ROUND(MIN(C72+D72, MAX(VLOOKUP(B72,'💳 Debt Input'!$A$4:$G$9,4,FALSE), $F$3 - IFERROR(SUM(OFFSET(E72, -MOD(ROW()-6, 6), 0, MOD(ROW()-6, 6))), 0) - IFERROR(SUM(SUMIF('💳 Debt Input'!$A$4:$A$9, OFFSET(B72, 1, 0, 5-MOD(ROW()-6, 6)), '💳 Debt Input'!$D$4:$D$9)), 0))), 2))</f>
        <v>0</v>
      </c>
      <c r="F72" s="61">
        <f t="shared" ca="1" si="1"/>
        <v>0</v>
      </c>
      <c r="G72" s="19" t="str">
        <f t="shared" ca="1" si="0"/>
        <v>Paid off</v>
      </c>
      <c r="H72" s="19"/>
      <c r="J72">
        <v>64</v>
      </c>
      <c r="K72">
        <f ca="1">SUM(F389:F394)</f>
        <v>0</v>
      </c>
      <c r="L72">
        <f ca="1">SUM(D389:D394)</f>
        <v>0</v>
      </c>
      <c r="M72">
        <f ca="1">F394</f>
        <v>0</v>
      </c>
    </row>
    <row r="73" spans="1:13" ht="18" customHeight="1" x14ac:dyDescent="0.35">
      <c r="A73" s="47"/>
      <c r="B73" s="8" t="str">
        <v>Personal Loan</v>
      </c>
      <c r="C73" s="61">
        <f ca="1"/>
        <v>922.69</v>
      </c>
      <c r="D73" s="61">
        <f ca="1">IF(B73="","", ROUND(C73 * (VLOOKUP(B73, '💳 Debt Input'!$A$4:$G$9, 3, FALSE) / 12), 2))</f>
        <v>4.6100000000000003</v>
      </c>
      <c r="E73" s="61" cm="1">
        <f t="array" aca="1" ref="E73" ca="1">IF(B73="","", ROUND(MIN(C73+D73, MAX(VLOOKUP(B73,'💳 Debt Input'!$A$4:$G$9,4,FALSE), $F$3 - IFERROR(SUM(OFFSET(E73, -MOD(ROW()-6, 6), 0, MOD(ROW()-6, 6))), 0) - IFERROR(SUM(SUMIF('💳 Debt Input'!$A$4:$A$9, OFFSET(B73, 1, 0, 5-MOD(ROW()-6, 6)), '💳 Debt Input'!$D$4:$D$9)), 0))), 2))</f>
        <v>115</v>
      </c>
      <c r="F73" s="61">
        <f t="shared" ca="1" si="1"/>
        <v>812.3</v>
      </c>
      <c r="G73" s="19" t="str">
        <f t="shared" ca="1" si="0"/>
        <v>Active</v>
      </c>
      <c r="H73" s="19"/>
    </row>
    <row r="74" spans="1:13" ht="18" customHeight="1" x14ac:dyDescent="0.35">
      <c r="A74" s="47"/>
      <c r="B74" s="8" t="str">
        <v>Auto Loan</v>
      </c>
      <c r="C74" s="61">
        <f ca="1"/>
        <v>3100.09</v>
      </c>
      <c r="D74" s="61">
        <f ca="1">IF(B74="","", ROUND(C74 * (VLOOKUP(B74, '💳 Debt Input'!$A$4:$G$9, 3, FALSE) / 12), 2))</f>
        <v>25.83</v>
      </c>
      <c r="E74" s="61" cm="1">
        <f t="array" aca="1" ref="E74" ca="1">IF(B74="","", ROUND(MIN(C74+D74, MAX(VLOOKUP(B74,'💳 Debt Input'!$A$4:$G$9,4,FALSE), $F$3 - IFERROR(SUM(OFFSET(E74, -MOD(ROW()-6, 6), 0, MOD(ROW()-6, 6))), 0) - IFERROR(SUM(SUMIF('💳 Debt Input'!$A$4:$A$9, OFFSET(B74, 1, 0, 5-MOD(ROW()-6, 6)), '💳 Debt Input'!$D$4:$D$9)), 0))), 2))</f>
        <v>120</v>
      </c>
      <c r="F74" s="61">
        <f t="shared" ca="1" si="1"/>
        <v>3005.92</v>
      </c>
      <c r="G74" s="19" t="str">
        <f t="shared" ca="1" si="0"/>
        <v>Active</v>
      </c>
      <c r="H74" s="19"/>
    </row>
    <row r="75" spans="1:13" ht="18" customHeight="1" x14ac:dyDescent="0.35">
      <c r="A75" s="47"/>
      <c r="B75" s="8" t="str">
        <v>Travel Card</v>
      </c>
      <c r="C75" s="61">
        <f ca="1"/>
        <v>7555.14</v>
      </c>
      <c r="D75" s="61">
        <f ca="1">IF(B75="","", ROUND(C75 * (VLOOKUP(B75, '💳 Debt Input'!$A$4:$G$9, 3, FALSE) / 12), 2))</f>
        <v>113.33</v>
      </c>
      <c r="E75" s="61" cm="1">
        <f t="array" aca="1" ref="E75" ca="1">IF(B75="","", ROUND(MIN(C75+D75, MAX(VLOOKUP(B75,'💳 Debt Input'!$A$4:$G$9,4,FALSE), $F$3 - IFERROR(SUM(OFFSET(E75, -MOD(ROW()-6, 6), 0, MOD(ROW()-6, 6))), 0) - IFERROR(SUM(SUMIF('💳 Debt Input'!$A$4:$A$9, OFFSET(B75, 1, 0, 5-MOD(ROW()-6, 6)), '💳 Debt Input'!$D$4:$D$9)), 0))), 2))</f>
        <v>270</v>
      </c>
      <c r="F75" s="61">
        <f t="shared" ca="1" si="1"/>
        <v>7398.47</v>
      </c>
      <c r="G75" s="19" t="str">
        <f t="shared" ref="G75:G138" ca="1" si="2">IF(F75=0,"Paid off","Active")</f>
        <v>Active</v>
      </c>
      <c r="H75" s="19"/>
    </row>
    <row r="76" spans="1:13" ht="18" customHeight="1" x14ac:dyDescent="0.35">
      <c r="A76" s="47"/>
      <c r="B76" s="8" t="str">
        <v>Rewards Visa</v>
      </c>
      <c r="C76" s="61">
        <f ca="1"/>
        <v>16000</v>
      </c>
      <c r="D76" s="61">
        <f ca="1">IF(B76="","", ROUND(C76 * (VLOOKUP(B76, '💳 Debt Input'!$A$4:$G$9, 3, FALSE) / 12), 2))</f>
        <v>480</v>
      </c>
      <c r="E76" s="61" cm="1">
        <f t="array" aca="1" ref="E76" ca="1">IF(B76="","", ROUND(MIN(C76+D76, MAX(VLOOKUP(B76,'💳 Debt Input'!$A$4:$G$9,4,FALSE), $F$3 - IFERROR(SUM(OFFSET(E76, -MOD(ROW()-6, 6), 0, MOD(ROW()-6, 6))), 0) - IFERROR(SUM(SUMIF('💳 Debt Input'!$A$4:$A$9, OFFSET(B76, 1, 0, 5-MOD(ROW()-6, 6)), '💳 Debt Input'!$D$4:$D$9)), 0))), 2))</f>
        <v>480</v>
      </c>
      <c r="F76" s="61">
        <f t="shared" ref="F76:F139" ca="1" si="3">ROUND(MAX(0,C76+D76-E76),2)</f>
        <v>16000</v>
      </c>
      <c r="G76" s="19" t="str">
        <f t="shared" ca="1" si="2"/>
        <v>Active</v>
      </c>
      <c r="H76" s="19"/>
    </row>
    <row r="77" spans="1:13" ht="18" customHeight="1" x14ac:dyDescent="0.35">
      <c r="A77" s="51">
        <v>12</v>
      </c>
      <c r="B77" s="56" t="str" cm="1">
        <f t="array" ref="B77:B82">B71:B76</f>
        <v>Store Card</v>
      </c>
      <c r="C77" s="65" cm="1">
        <f t="array" aca="1" ref="C77:C82" ca="1">F71:F76</f>
        <v>0</v>
      </c>
      <c r="D77" s="65">
        <f ca="1">IF(B77="","", ROUND(C77 * (VLOOKUP(B77, '💳 Debt Input'!$A$4:$G$9, 3, FALSE) / 12), 2))</f>
        <v>0</v>
      </c>
      <c r="E77" s="65" cm="1">
        <f t="array" aca="1" ref="E77" ca="1">IF(B77="","", ROUND(MIN(C77+D77, MAX(VLOOKUP(B77,'💳 Debt Input'!$A$4:$G$9,4,FALSE), $F$3 - IFERROR(SUM(OFFSET(E77, -MOD(ROW()-6, 6), 0, MOD(ROW()-6, 6))), 0) - IFERROR(SUM(SUMIF('💳 Debt Input'!$A$4:$A$9, OFFSET(B77, 1, 0, 5-MOD(ROW()-6, 6)), '💳 Debt Input'!$D$4:$D$9)), 0))), 2))</f>
        <v>0</v>
      </c>
      <c r="F77" s="65">
        <f t="shared" ca="1" si="3"/>
        <v>0</v>
      </c>
      <c r="G77" s="25" t="str">
        <f t="shared" ca="1" si="2"/>
        <v>Paid off</v>
      </c>
      <c r="H77" s="25"/>
    </row>
    <row r="78" spans="1:13" ht="18" customHeight="1" x14ac:dyDescent="0.35">
      <c r="A78" s="49"/>
      <c r="B78" s="6" t="str">
        <v>Medical Bill</v>
      </c>
      <c r="C78" s="63">
        <f ca="1"/>
        <v>0</v>
      </c>
      <c r="D78" s="63">
        <f ca="1">IF(B78="","", ROUND(C78 * (VLOOKUP(B78, '💳 Debt Input'!$A$4:$G$9, 3, FALSE) / 12), 2))</f>
        <v>0</v>
      </c>
      <c r="E78" s="63" cm="1">
        <f t="array" aca="1" ref="E78" ca="1">IF(B78="","", ROUND(MIN(C78+D78, MAX(VLOOKUP(B78,'💳 Debt Input'!$A$4:$G$9,4,FALSE), $F$3 - IFERROR(SUM(OFFSET(E78, -MOD(ROW()-6, 6), 0, MOD(ROW()-6, 6))), 0) - IFERROR(SUM(SUMIF('💳 Debt Input'!$A$4:$A$9, OFFSET(B78, 1, 0, 5-MOD(ROW()-6, 6)), '💳 Debt Input'!$D$4:$D$9)), 0))), 2))</f>
        <v>0</v>
      </c>
      <c r="F78" s="63">
        <f t="shared" ca="1" si="3"/>
        <v>0</v>
      </c>
      <c r="G78" s="22" t="str">
        <f t="shared" ca="1" si="2"/>
        <v>Paid off</v>
      </c>
      <c r="H78" s="22"/>
    </row>
    <row r="79" spans="1:13" ht="18" customHeight="1" x14ac:dyDescent="0.35">
      <c r="A79" s="49"/>
      <c r="B79" s="6" t="str">
        <v>Personal Loan</v>
      </c>
      <c r="C79" s="63">
        <f ca="1"/>
        <v>812.3</v>
      </c>
      <c r="D79" s="63">
        <f ca="1">IF(B79="","", ROUND(C79 * (VLOOKUP(B79, '💳 Debt Input'!$A$4:$G$9, 3, FALSE) / 12), 2))</f>
        <v>4.0599999999999996</v>
      </c>
      <c r="E79" s="63" cm="1">
        <f t="array" aca="1" ref="E79" ca="1">IF(B79="","", ROUND(MIN(C79+D79, MAX(VLOOKUP(B79,'💳 Debt Input'!$A$4:$G$9,4,FALSE), $F$3 - IFERROR(SUM(OFFSET(E79, -MOD(ROW()-6, 6), 0, MOD(ROW()-6, 6))), 0) - IFERROR(SUM(SUMIF('💳 Debt Input'!$A$4:$A$9, OFFSET(B79, 1, 0, 5-MOD(ROW()-6, 6)), '💳 Debt Input'!$D$4:$D$9)), 0))), 2))</f>
        <v>115</v>
      </c>
      <c r="F79" s="63">
        <f t="shared" ca="1" si="3"/>
        <v>701.36</v>
      </c>
      <c r="G79" s="22" t="str">
        <f t="shared" ca="1" si="2"/>
        <v>Active</v>
      </c>
      <c r="H79" s="22"/>
    </row>
    <row r="80" spans="1:13" ht="18" customHeight="1" x14ac:dyDescent="0.35">
      <c r="A80" s="49"/>
      <c r="B80" s="6" t="str">
        <v>Auto Loan</v>
      </c>
      <c r="C80" s="63">
        <f ca="1"/>
        <v>3005.92</v>
      </c>
      <c r="D80" s="63">
        <f ca="1">IF(B80="","", ROUND(C80 * (VLOOKUP(B80, '💳 Debt Input'!$A$4:$G$9, 3, FALSE) / 12), 2))</f>
        <v>25.05</v>
      </c>
      <c r="E80" s="63" cm="1">
        <f t="array" aca="1" ref="E80" ca="1">IF(B80="","", ROUND(MIN(C80+D80, MAX(VLOOKUP(B80,'💳 Debt Input'!$A$4:$G$9,4,FALSE), $F$3 - IFERROR(SUM(OFFSET(E80, -MOD(ROW()-6, 6), 0, MOD(ROW()-6, 6))), 0) - IFERROR(SUM(SUMIF('💳 Debt Input'!$A$4:$A$9, OFFSET(B80, 1, 0, 5-MOD(ROW()-6, 6)), '💳 Debt Input'!$D$4:$D$9)), 0))), 2))</f>
        <v>120</v>
      </c>
      <c r="F80" s="63">
        <f t="shared" ca="1" si="3"/>
        <v>2910.97</v>
      </c>
      <c r="G80" s="22" t="str">
        <f t="shared" ca="1" si="2"/>
        <v>Active</v>
      </c>
      <c r="H80" s="22"/>
    </row>
    <row r="81" spans="1:8" ht="18" customHeight="1" x14ac:dyDescent="0.35">
      <c r="A81" s="49"/>
      <c r="B81" s="6" t="str">
        <v>Travel Card</v>
      </c>
      <c r="C81" s="63">
        <f ca="1"/>
        <v>7398.47</v>
      </c>
      <c r="D81" s="63">
        <f ca="1">IF(B81="","", ROUND(C81 * (VLOOKUP(B81, '💳 Debt Input'!$A$4:$G$9, 3, FALSE) / 12), 2))</f>
        <v>110.98</v>
      </c>
      <c r="E81" s="63" cm="1">
        <f t="array" aca="1" ref="E81" ca="1">IF(B81="","", ROUND(MIN(C81+D81, MAX(VLOOKUP(B81,'💳 Debt Input'!$A$4:$G$9,4,FALSE), $F$3 - IFERROR(SUM(OFFSET(E81, -MOD(ROW()-6, 6), 0, MOD(ROW()-6, 6))), 0) - IFERROR(SUM(SUMIF('💳 Debt Input'!$A$4:$A$9, OFFSET(B81, 1, 0, 5-MOD(ROW()-6, 6)), '💳 Debt Input'!$D$4:$D$9)), 0))), 2))</f>
        <v>270</v>
      </c>
      <c r="F81" s="63">
        <f t="shared" ca="1" si="3"/>
        <v>7239.45</v>
      </c>
      <c r="G81" s="22" t="str">
        <f t="shared" ca="1" si="2"/>
        <v>Active</v>
      </c>
      <c r="H81" s="22"/>
    </row>
    <row r="82" spans="1:8" ht="18" customHeight="1" x14ac:dyDescent="0.35">
      <c r="A82" s="49"/>
      <c r="B82" s="6" t="str">
        <v>Rewards Visa</v>
      </c>
      <c r="C82" s="63">
        <f ca="1"/>
        <v>16000</v>
      </c>
      <c r="D82" s="63">
        <f ca="1">IF(B82="","", ROUND(C82 * (VLOOKUP(B82, '💳 Debt Input'!$A$4:$G$9, 3, FALSE) / 12), 2))</f>
        <v>480</v>
      </c>
      <c r="E82" s="63" cm="1">
        <f t="array" aca="1" ref="E82" ca="1">IF(B82="","", ROUND(MIN(C82+D82, MAX(VLOOKUP(B82,'💳 Debt Input'!$A$4:$G$9,4,FALSE), $F$3 - IFERROR(SUM(OFFSET(E82, -MOD(ROW()-6, 6), 0, MOD(ROW()-6, 6))), 0) - IFERROR(SUM(SUMIF('💳 Debt Input'!$A$4:$A$9, OFFSET(B82, 1, 0, 5-MOD(ROW()-6, 6)), '💳 Debt Input'!$D$4:$D$9)), 0))), 2))</f>
        <v>480</v>
      </c>
      <c r="F82" s="63">
        <f t="shared" ca="1" si="3"/>
        <v>16000</v>
      </c>
      <c r="G82" s="22" t="str">
        <f t="shared" ca="1" si="2"/>
        <v>Active</v>
      </c>
      <c r="H82" s="22"/>
    </row>
    <row r="83" spans="1:8" ht="18" customHeight="1" x14ac:dyDescent="0.35">
      <c r="A83" s="51">
        <v>13</v>
      </c>
      <c r="B83" s="56" t="str" cm="1">
        <f t="array" ref="B83:B88">B77:B82</f>
        <v>Store Card</v>
      </c>
      <c r="C83" s="65" cm="1">
        <f t="array" aca="1" ref="C83:C88" ca="1">F77:F82</f>
        <v>0</v>
      </c>
      <c r="D83" s="65">
        <f ca="1">IF(B83="","", ROUND(C83 * (VLOOKUP(B83, '💳 Debt Input'!$A$4:$G$9, 3, FALSE) / 12), 2))</f>
        <v>0</v>
      </c>
      <c r="E83" s="65" cm="1">
        <f t="array" aca="1" ref="E83" ca="1">IF(B83="","", ROUND(MIN(C83+D83, MAX(VLOOKUP(B83,'💳 Debt Input'!$A$4:$G$9,4,FALSE), $F$3 - IFERROR(SUM(OFFSET(E83, -MOD(ROW()-6, 6), 0, MOD(ROW()-6, 6))), 0) - IFERROR(SUM(SUMIF('💳 Debt Input'!$A$4:$A$9, OFFSET(B83, 1, 0, 5-MOD(ROW()-6, 6)), '💳 Debt Input'!$D$4:$D$9)), 0))), 2))</f>
        <v>0</v>
      </c>
      <c r="F83" s="65">
        <f t="shared" ca="1" si="3"/>
        <v>0</v>
      </c>
      <c r="G83" s="25" t="str">
        <f t="shared" ca="1" si="2"/>
        <v>Paid off</v>
      </c>
      <c r="H83" s="25"/>
    </row>
    <row r="84" spans="1:8" ht="18" customHeight="1" x14ac:dyDescent="0.35">
      <c r="A84" s="47"/>
      <c r="B84" s="8" t="str">
        <v>Medical Bill</v>
      </c>
      <c r="C84" s="61">
        <f ca="1"/>
        <v>0</v>
      </c>
      <c r="D84" s="61">
        <f ca="1">IF(B84="","", ROUND(C84 * (VLOOKUP(B84, '💳 Debt Input'!$A$4:$G$9, 3, FALSE) / 12), 2))</f>
        <v>0</v>
      </c>
      <c r="E84" s="61" cm="1">
        <f t="array" aca="1" ref="E84" ca="1">IF(B84="","", ROUND(MIN(C84+D84, MAX(VLOOKUP(B84,'💳 Debt Input'!$A$4:$G$9,4,FALSE), $F$3 - IFERROR(SUM(OFFSET(E84, -MOD(ROW()-6, 6), 0, MOD(ROW()-6, 6))), 0) - IFERROR(SUM(SUMIF('💳 Debt Input'!$A$4:$A$9, OFFSET(B84, 1, 0, 5-MOD(ROW()-6, 6)), '💳 Debt Input'!$D$4:$D$9)), 0))), 2))</f>
        <v>0</v>
      </c>
      <c r="F84" s="61">
        <f t="shared" ca="1" si="3"/>
        <v>0</v>
      </c>
      <c r="G84" s="19" t="str">
        <f t="shared" ca="1" si="2"/>
        <v>Paid off</v>
      </c>
      <c r="H84" s="19"/>
    </row>
    <row r="85" spans="1:8" ht="18" customHeight="1" x14ac:dyDescent="0.35">
      <c r="A85" s="47"/>
      <c r="B85" s="8" t="str">
        <v>Personal Loan</v>
      </c>
      <c r="C85" s="61">
        <f ca="1"/>
        <v>701.36</v>
      </c>
      <c r="D85" s="61">
        <f ca="1">IF(B85="","", ROUND(C85 * (VLOOKUP(B85, '💳 Debt Input'!$A$4:$G$9, 3, FALSE) / 12), 2))</f>
        <v>3.51</v>
      </c>
      <c r="E85" s="61" cm="1">
        <f t="array" aca="1" ref="E85" ca="1">IF(B85="","", ROUND(MIN(C85+D85, MAX(VLOOKUP(B85,'💳 Debt Input'!$A$4:$G$9,4,FALSE), $F$3 - IFERROR(SUM(OFFSET(E85, -MOD(ROW()-6, 6), 0, MOD(ROW()-6, 6))), 0) - IFERROR(SUM(SUMIF('💳 Debt Input'!$A$4:$A$9, OFFSET(B85, 1, 0, 5-MOD(ROW()-6, 6)), '💳 Debt Input'!$D$4:$D$9)), 0))), 2))</f>
        <v>115</v>
      </c>
      <c r="F85" s="61">
        <f t="shared" ca="1" si="3"/>
        <v>589.87</v>
      </c>
      <c r="G85" s="19" t="str">
        <f t="shared" ca="1" si="2"/>
        <v>Active</v>
      </c>
      <c r="H85" s="19"/>
    </row>
    <row r="86" spans="1:8" ht="18" customHeight="1" x14ac:dyDescent="0.35">
      <c r="A86" s="47"/>
      <c r="B86" s="8" t="str">
        <v>Auto Loan</v>
      </c>
      <c r="C86" s="61">
        <f ca="1"/>
        <v>2910.97</v>
      </c>
      <c r="D86" s="61">
        <f ca="1">IF(B86="","", ROUND(C86 * (VLOOKUP(B86, '💳 Debt Input'!$A$4:$G$9, 3, FALSE) / 12), 2))</f>
        <v>24.26</v>
      </c>
      <c r="E86" s="61" cm="1">
        <f t="array" aca="1" ref="E86" ca="1">IF(B86="","", ROUND(MIN(C86+D86, MAX(VLOOKUP(B86,'💳 Debt Input'!$A$4:$G$9,4,FALSE), $F$3 - IFERROR(SUM(OFFSET(E86, -MOD(ROW()-6, 6), 0, MOD(ROW()-6, 6))), 0) - IFERROR(SUM(SUMIF('💳 Debt Input'!$A$4:$A$9, OFFSET(B86, 1, 0, 5-MOD(ROW()-6, 6)), '💳 Debt Input'!$D$4:$D$9)), 0))), 2))</f>
        <v>120</v>
      </c>
      <c r="F86" s="61">
        <f t="shared" ca="1" si="3"/>
        <v>2815.23</v>
      </c>
      <c r="G86" s="19" t="str">
        <f t="shared" ca="1" si="2"/>
        <v>Active</v>
      </c>
      <c r="H86" s="19"/>
    </row>
    <row r="87" spans="1:8" ht="18" customHeight="1" x14ac:dyDescent="0.35">
      <c r="A87" s="47"/>
      <c r="B87" s="8" t="str">
        <v>Travel Card</v>
      </c>
      <c r="C87" s="61">
        <f ca="1"/>
        <v>7239.45</v>
      </c>
      <c r="D87" s="61">
        <f ca="1">IF(B87="","", ROUND(C87 * (VLOOKUP(B87, '💳 Debt Input'!$A$4:$G$9, 3, FALSE) / 12), 2))</f>
        <v>108.59</v>
      </c>
      <c r="E87" s="61" cm="1">
        <f t="array" aca="1" ref="E87" ca="1">IF(B87="","", ROUND(MIN(C87+D87, MAX(VLOOKUP(B87,'💳 Debt Input'!$A$4:$G$9,4,FALSE), $F$3 - IFERROR(SUM(OFFSET(E87, -MOD(ROW()-6, 6), 0, MOD(ROW()-6, 6))), 0) - IFERROR(SUM(SUMIF('💳 Debt Input'!$A$4:$A$9, OFFSET(B87, 1, 0, 5-MOD(ROW()-6, 6)), '💳 Debt Input'!$D$4:$D$9)), 0))), 2))</f>
        <v>270</v>
      </c>
      <c r="F87" s="61">
        <f t="shared" ca="1" si="3"/>
        <v>7078.04</v>
      </c>
      <c r="G87" s="19" t="str">
        <f t="shared" ca="1" si="2"/>
        <v>Active</v>
      </c>
      <c r="H87" s="19"/>
    </row>
    <row r="88" spans="1:8" ht="18" customHeight="1" x14ac:dyDescent="0.35">
      <c r="A88" s="47"/>
      <c r="B88" s="8" t="str">
        <v>Rewards Visa</v>
      </c>
      <c r="C88" s="61">
        <f ca="1"/>
        <v>16000</v>
      </c>
      <c r="D88" s="61">
        <f ca="1">IF(B88="","", ROUND(C88 * (VLOOKUP(B88, '💳 Debt Input'!$A$4:$G$9, 3, FALSE) / 12), 2))</f>
        <v>480</v>
      </c>
      <c r="E88" s="61" cm="1">
        <f t="array" aca="1" ref="E88" ca="1">IF(B88="","", ROUND(MIN(C88+D88, MAX(VLOOKUP(B88,'💳 Debt Input'!$A$4:$G$9,4,FALSE), $F$3 - IFERROR(SUM(OFFSET(E88, -MOD(ROW()-6, 6), 0, MOD(ROW()-6, 6))), 0) - IFERROR(SUM(SUMIF('💳 Debt Input'!$A$4:$A$9, OFFSET(B88, 1, 0, 5-MOD(ROW()-6, 6)), '💳 Debt Input'!$D$4:$D$9)), 0))), 2))</f>
        <v>480</v>
      </c>
      <c r="F88" s="61">
        <f t="shared" ca="1" si="3"/>
        <v>16000</v>
      </c>
      <c r="G88" s="19" t="str">
        <f t="shared" ca="1" si="2"/>
        <v>Active</v>
      </c>
      <c r="H88" s="19"/>
    </row>
    <row r="89" spans="1:8" ht="18" customHeight="1" x14ac:dyDescent="0.35">
      <c r="A89" s="51">
        <v>14</v>
      </c>
      <c r="B89" s="56" t="str" cm="1">
        <f t="array" ref="B89:B94">B83:B88</f>
        <v>Store Card</v>
      </c>
      <c r="C89" s="65" cm="1">
        <f t="array" aca="1" ref="C89:C94" ca="1">F83:F88</f>
        <v>0</v>
      </c>
      <c r="D89" s="65">
        <f ca="1">IF(B89="","", ROUND(C89 * (VLOOKUP(B89, '💳 Debt Input'!$A$4:$G$9, 3, FALSE) / 12), 2))</f>
        <v>0</v>
      </c>
      <c r="E89" s="65" cm="1">
        <f t="array" aca="1" ref="E89" ca="1">IF(B89="","", ROUND(MIN(C89+D89, MAX(VLOOKUP(B89,'💳 Debt Input'!$A$4:$G$9,4,FALSE), $F$3 - IFERROR(SUM(OFFSET(E89, -MOD(ROW()-6, 6), 0, MOD(ROW()-6, 6))), 0) - IFERROR(SUM(SUMIF('💳 Debt Input'!$A$4:$A$9, OFFSET(B89, 1, 0, 5-MOD(ROW()-6, 6)), '💳 Debt Input'!$D$4:$D$9)), 0))), 2))</f>
        <v>0</v>
      </c>
      <c r="F89" s="65">
        <f t="shared" ca="1" si="3"/>
        <v>0</v>
      </c>
      <c r="G89" s="25" t="str">
        <f t="shared" ca="1" si="2"/>
        <v>Paid off</v>
      </c>
      <c r="H89" s="25"/>
    </row>
    <row r="90" spans="1:8" ht="18" customHeight="1" x14ac:dyDescent="0.35">
      <c r="A90" s="49"/>
      <c r="B90" s="6" t="str">
        <v>Medical Bill</v>
      </c>
      <c r="C90" s="63">
        <f ca="1"/>
        <v>0</v>
      </c>
      <c r="D90" s="63">
        <f ca="1">IF(B90="","", ROUND(C90 * (VLOOKUP(B90, '💳 Debt Input'!$A$4:$G$9, 3, FALSE) / 12), 2))</f>
        <v>0</v>
      </c>
      <c r="E90" s="63" cm="1">
        <f t="array" aca="1" ref="E90" ca="1">IF(B90="","", ROUND(MIN(C90+D90, MAX(VLOOKUP(B90,'💳 Debt Input'!$A$4:$G$9,4,FALSE), $F$3 - IFERROR(SUM(OFFSET(E90, -MOD(ROW()-6, 6), 0, MOD(ROW()-6, 6))), 0) - IFERROR(SUM(SUMIF('💳 Debt Input'!$A$4:$A$9, OFFSET(B90, 1, 0, 5-MOD(ROW()-6, 6)), '💳 Debt Input'!$D$4:$D$9)), 0))), 2))</f>
        <v>0</v>
      </c>
      <c r="F90" s="63">
        <f t="shared" ca="1" si="3"/>
        <v>0</v>
      </c>
      <c r="G90" s="22" t="str">
        <f t="shared" ca="1" si="2"/>
        <v>Paid off</v>
      </c>
      <c r="H90" s="22"/>
    </row>
    <row r="91" spans="1:8" ht="18" customHeight="1" x14ac:dyDescent="0.35">
      <c r="A91" s="49"/>
      <c r="B91" s="6" t="str">
        <v>Personal Loan</v>
      </c>
      <c r="C91" s="63">
        <f ca="1"/>
        <v>589.87</v>
      </c>
      <c r="D91" s="63">
        <f ca="1">IF(B91="","", ROUND(C91 * (VLOOKUP(B91, '💳 Debt Input'!$A$4:$G$9, 3, FALSE) / 12), 2))</f>
        <v>2.95</v>
      </c>
      <c r="E91" s="63" cm="1">
        <f t="array" aca="1" ref="E91" ca="1">IF(B91="","", ROUND(MIN(C91+D91, MAX(VLOOKUP(B91,'💳 Debt Input'!$A$4:$G$9,4,FALSE), $F$3 - IFERROR(SUM(OFFSET(E91, -MOD(ROW()-6, 6), 0, MOD(ROW()-6, 6))), 0) - IFERROR(SUM(SUMIF('💳 Debt Input'!$A$4:$A$9, OFFSET(B91, 1, 0, 5-MOD(ROW()-6, 6)), '💳 Debt Input'!$D$4:$D$9)), 0))), 2))</f>
        <v>115</v>
      </c>
      <c r="F91" s="63">
        <f t="shared" ca="1" si="3"/>
        <v>477.82</v>
      </c>
      <c r="G91" s="22" t="str">
        <f t="shared" ca="1" si="2"/>
        <v>Active</v>
      </c>
      <c r="H91" s="22"/>
    </row>
    <row r="92" spans="1:8" ht="18" customHeight="1" x14ac:dyDescent="0.35">
      <c r="A92" s="49"/>
      <c r="B92" s="6" t="str">
        <v>Auto Loan</v>
      </c>
      <c r="C92" s="63">
        <f ca="1"/>
        <v>2815.23</v>
      </c>
      <c r="D92" s="63">
        <f ca="1">IF(B92="","", ROUND(C92 * (VLOOKUP(B92, '💳 Debt Input'!$A$4:$G$9, 3, FALSE) / 12), 2))</f>
        <v>23.46</v>
      </c>
      <c r="E92" s="63" cm="1">
        <f t="array" aca="1" ref="E92" ca="1">IF(B92="","", ROUND(MIN(C92+D92, MAX(VLOOKUP(B92,'💳 Debt Input'!$A$4:$G$9,4,FALSE), $F$3 - IFERROR(SUM(OFFSET(E92, -MOD(ROW()-6, 6), 0, MOD(ROW()-6, 6))), 0) - IFERROR(SUM(SUMIF('💳 Debt Input'!$A$4:$A$9, OFFSET(B92, 1, 0, 5-MOD(ROW()-6, 6)), '💳 Debt Input'!$D$4:$D$9)), 0))), 2))</f>
        <v>120</v>
      </c>
      <c r="F92" s="63">
        <f t="shared" ca="1" si="3"/>
        <v>2718.69</v>
      </c>
      <c r="G92" s="22" t="str">
        <f t="shared" ca="1" si="2"/>
        <v>Active</v>
      </c>
      <c r="H92" s="22"/>
    </row>
    <row r="93" spans="1:8" ht="18" customHeight="1" x14ac:dyDescent="0.35">
      <c r="A93" s="49"/>
      <c r="B93" s="6" t="str">
        <v>Travel Card</v>
      </c>
      <c r="C93" s="63">
        <f ca="1"/>
        <v>7078.04</v>
      </c>
      <c r="D93" s="63">
        <f ca="1">IF(B93="","", ROUND(C93 * (VLOOKUP(B93, '💳 Debt Input'!$A$4:$G$9, 3, FALSE) / 12), 2))</f>
        <v>106.17</v>
      </c>
      <c r="E93" s="63" cm="1">
        <f t="array" aca="1" ref="E93" ca="1">IF(B93="","", ROUND(MIN(C93+D93, MAX(VLOOKUP(B93,'💳 Debt Input'!$A$4:$G$9,4,FALSE), $F$3 - IFERROR(SUM(OFFSET(E93, -MOD(ROW()-6, 6), 0, MOD(ROW()-6, 6))), 0) - IFERROR(SUM(SUMIF('💳 Debt Input'!$A$4:$A$9, OFFSET(B93, 1, 0, 5-MOD(ROW()-6, 6)), '💳 Debt Input'!$D$4:$D$9)), 0))), 2))</f>
        <v>270</v>
      </c>
      <c r="F93" s="63">
        <f t="shared" ca="1" si="3"/>
        <v>6914.21</v>
      </c>
      <c r="G93" s="22" t="str">
        <f t="shared" ca="1" si="2"/>
        <v>Active</v>
      </c>
      <c r="H93" s="22"/>
    </row>
    <row r="94" spans="1:8" ht="18" customHeight="1" x14ac:dyDescent="0.35">
      <c r="A94" s="49"/>
      <c r="B94" s="6" t="str">
        <v>Rewards Visa</v>
      </c>
      <c r="C94" s="63">
        <f ca="1"/>
        <v>16000</v>
      </c>
      <c r="D94" s="63">
        <f ca="1">IF(B94="","", ROUND(C94 * (VLOOKUP(B94, '💳 Debt Input'!$A$4:$G$9, 3, FALSE) / 12), 2))</f>
        <v>480</v>
      </c>
      <c r="E94" s="63" cm="1">
        <f t="array" aca="1" ref="E94" ca="1">IF(B94="","", ROUND(MIN(C94+D94, MAX(VLOOKUP(B94,'💳 Debt Input'!$A$4:$G$9,4,FALSE), $F$3 - IFERROR(SUM(OFFSET(E94, -MOD(ROW()-6, 6), 0, MOD(ROW()-6, 6))), 0) - IFERROR(SUM(SUMIF('💳 Debt Input'!$A$4:$A$9, OFFSET(B94, 1, 0, 5-MOD(ROW()-6, 6)), '💳 Debt Input'!$D$4:$D$9)), 0))), 2))</f>
        <v>480</v>
      </c>
      <c r="F94" s="63">
        <f t="shared" ca="1" si="3"/>
        <v>16000</v>
      </c>
      <c r="G94" s="22" t="str">
        <f t="shared" ca="1" si="2"/>
        <v>Active</v>
      </c>
      <c r="H94" s="22"/>
    </row>
    <row r="95" spans="1:8" ht="18" customHeight="1" x14ac:dyDescent="0.35">
      <c r="A95" s="51">
        <v>15</v>
      </c>
      <c r="B95" s="56" t="str" cm="1">
        <f t="array" ref="B95:B100">B89:B94</f>
        <v>Store Card</v>
      </c>
      <c r="C95" s="65" cm="1">
        <f t="array" aca="1" ref="C95:C100" ca="1">F89:F94</f>
        <v>0</v>
      </c>
      <c r="D95" s="65">
        <f ca="1">IF(B95="","", ROUND(C95 * (VLOOKUP(B95, '💳 Debt Input'!$A$4:$G$9, 3, FALSE) / 12), 2))</f>
        <v>0</v>
      </c>
      <c r="E95" s="65" cm="1">
        <f t="array" aca="1" ref="E95" ca="1">IF(B95="","", ROUND(MIN(C95+D95, MAX(VLOOKUP(B95,'💳 Debt Input'!$A$4:$G$9,4,FALSE), $F$3 - IFERROR(SUM(OFFSET(E95, -MOD(ROW()-6, 6), 0, MOD(ROW()-6, 6))), 0) - IFERROR(SUM(SUMIF('💳 Debt Input'!$A$4:$A$9, OFFSET(B95, 1, 0, 5-MOD(ROW()-6, 6)), '💳 Debt Input'!$D$4:$D$9)), 0))), 2))</f>
        <v>0</v>
      </c>
      <c r="F95" s="65">
        <f t="shared" ca="1" si="3"/>
        <v>0</v>
      </c>
      <c r="G95" s="25" t="str">
        <f t="shared" ca="1" si="2"/>
        <v>Paid off</v>
      </c>
      <c r="H95" s="25"/>
    </row>
    <row r="96" spans="1:8" ht="18" customHeight="1" x14ac:dyDescent="0.35">
      <c r="A96" s="52"/>
      <c r="B96" s="26" t="str">
        <v>Medical Bill</v>
      </c>
      <c r="C96" s="66">
        <f ca="1"/>
        <v>0</v>
      </c>
      <c r="D96" s="66">
        <f ca="1">IF(B96="","", ROUND(C96 * (VLOOKUP(B96, '💳 Debt Input'!$A$4:$G$9, 3, FALSE) / 12), 2))</f>
        <v>0</v>
      </c>
      <c r="E96" s="66" cm="1">
        <f t="array" aca="1" ref="E96" ca="1">IF(B96="","", ROUND(MIN(C96+D96, MAX(VLOOKUP(B96,'💳 Debt Input'!$A$4:$G$9,4,FALSE), $F$3 - IFERROR(SUM(OFFSET(E96, -MOD(ROW()-6, 6), 0, MOD(ROW()-6, 6))), 0) - IFERROR(SUM(SUMIF('💳 Debt Input'!$A$4:$A$9, OFFSET(B96, 1, 0, 5-MOD(ROW()-6, 6)), '💳 Debt Input'!$D$4:$D$9)), 0))), 2))</f>
        <v>0</v>
      </c>
      <c r="F96" s="66">
        <f t="shared" ca="1" si="3"/>
        <v>0</v>
      </c>
      <c r="G96" s="28" t="str">
        <f t="shared" ca="1" si="2"/>
        <v>Paid off</v>
      </c>
      <c r="H96" s="28"/>
    </row>
    <row r="97" spans="1:8" ht="18" customHeight="1" x14ac:dyDescent="0.35">
      <c r="A97" s="47"/>
      <c r="B97" s="8" t="str">
        <v>Personal Loan</v>
      </c>
      <c r="C97" s="61">
        <f ca="1"/>
        <v>477.82</v>
      </c>
      <c r="D97" s="61">
        <f ca="1">IF(B97="","", ROUND(C97 * (VLOOKUP(B97, '💳 Debt Input'!$A$4:$G$9, 3, FALSE) / 12), 2))</f>
        <v>2.39</v>
      </c>
      <c r="E97" s="61" cm="1">
        <f t="array" aca="1" ref="E97" ca="1">IF(B97="","", ROUND(MIN(C97+D97, MAX(VLOOKUP(B97,'💳 Debt Input'!$A$4:$G$9,4,FALSE), $F$3 - IFERROR(SUM(OFFSET(E97, -MOD(ROW()-6, 6), 0, MOD(ROW()-6, 6))), 0) - IFERROR(SUM(SUMIF('💳 Debt Input'!$A$4:$A$9, OFFSET(B97, 1, 0, 5-MOD(ROW()-6, 6)), '💳 Debt Input'!$D$4:$D$9)), 0))), 2))</f>
        <v>115</v>
      </c>
      <c r="F97" s="61">
        <f t="shared" ca="1" si="3"/>
        <v>365.21</v>
      </c>
      <c r="G97" s="19" t="str">
        <f t="shared" ca="1" si="2"/>
        <v>Active</v>
      </c>
      <c r="H97" s="19"/>
    </row>
    <row r="98" spans="1:8" ht="18" customHeight="1" x14ac:dyDescent="0.35">
      <c r="A98" s="47"/>
      <c r="B98" s="8" t="str">
        <v>Auto Loan</v>
      </c>
      <c r="C98" s="61">
        <f ca="1"/>
        <v>2718.69</v>
      </c>
      <c r="D98" s="61">
        <f ca="1">IF(B98="","", ROUND(C98 * (VLOOKUP(B98, '💳 Debt Input'!$A$4:$G$9, 3, FALSE) / 12), 2))</f>
        <v>22.66</v>
      </c>
      <c r="E98" s="61" cm="1">
        <f t="array" aca="1" ref="E98" ca="1">IF(B98="","", ROUND(MIN(C98+D98, MAX(VLOOKUP(B98,'💳 Debt Input'!$A$4:$G$9,4,FALSE), $F$3 - IFERROR(SUM(OFFSET(E98, -MOD(ROW()-6, 6), 0, MOD(ROW()-6, 6))), 0) - IFERROR(SUM(SUMIF('💳 Debt Input'!$A$4:$A$9, OFFSET(B98, 1, 0, 5-MOD(ROW()-6, 6)), '💳 Debt Input'!$D$4:$D$9)), 0))), 2))</f>
        <v>120</v>
      </c>
      <c r="F98" s="61">
        <f t="shared" ca="1" si="3"/>
        <v>2621.35</v>
      </c>
      <c r="G98" s="19" t="str">
        <f t="shared" ca="1" si="2"/>
        <v>Active</v>
      </c>
      <c r="H98" s="19"/>
    </row>
    <row r="99" spans="1:8" ht="18" customHeight="1" x14ac:dyDescent="0.35">
      <c r="A99" s="47"/>
      <c r="B99" s="8" t="str">
        <v>Travel Card</v>
      </c>
      <c r="C99" s="61">
        <f ca="1"/>
        <v>6914.21</v>
      </c>
      <c r="D99" s="61">
        <f ca="1">IF(B99="","", ROUND(C99 * (VLOOKUP(B99, '💳 Debt Input'!$A$4:$G$9, 3, FALSE) / 12), 2))</f>
        <v>103.71</v>
      </c>
      <c r="E99" s="61" cm="1">
        <f t="array" aca="1" ref="E99" ca="1">IF(B99="","", ROUND(MIN(C99+D99, MAX(VLOOKUP(B99,'💳 Debt Input'!$A$4:$G$9,4,FALSE), $F$3 - IFERROR(SUM(OFFSET(E99, -MOD(ROW()-6, 6), 0, MOD(ROW()-6, 6))), 0) - IFERROR(SUM(SUMIF('💳 Debt Input'!$A$4:$A$9, OFFSET(B99, 1, 0, 5-MOD(ROW()-6, 6)), '💳 Debt Input'!$D$4:$D$9)), 0))), 2))</f>
        <v>270</v>
      </c>
      <c r="F99" s="61">
        <f t="shared" ca="1" si="3"/>
        <v>6747.92</v>
      </c>
      <c r="G99" s="19" t="str">
        <f t="shared" ca="1" si="2"/>
        <v>Active</v>
      </c>
      <c r="H99" s="19"/>
    </row>
    <row r="100" spans="1:8" ht="18" customHeight="1" x14ac:dyDescent="0.35">
      <c r="A100" s="47"/>
      <c r="B100" s="8" t="str">
        <v>Rewards Visa</v>
      </c>
      <c r="C100" s="61">
        <f ca="1"/>
        <v>16000</v>
      </c>
      <c r="D100" s="61">
        <f ca="1">IF(B100="","", ROUND(C100 * (VLOOKUP(B100, '💳 Debt Input'!$A$4:$G$9, 3, FALSE) / 12), 2))</f>
        <v>480</v>
      </c>
      <c r="E100" s="61" cm="1">
        <f t="array" aca="1" ref="E100" ca="1">IF(B100="","", ROUND(MIN(C100+D100, MAX(VLOOKUP(B100,'💳 Debt Input'!$A$4:$G$9,4,FALSE), $F$3 - IFERROR(SUM(OFFSET(E100, -MOD(ROW()-6, 6), 0, MOD(ROW()-6, 6))), 0) - IFERROR(SUM(SUMIF('💳 Debt Input'!$A$4:$A$9, OFFSET(B100, 1, 0, 5-MOD(ROW()-6, 6)), '💳 Debt Input'!$D$4:$D$9)), 0))), 2))</f>
        <v>480</v>
      </c>
      <c r="F100" s="61">
        <f t="shared" ca="1" si="3"/>
        <v>16000</v>
      </c>
      <c r="G100" s="19" t="str">
        <f t="shared" ca="1" si="2"/>
        <v>Active</v>
      </c>
      <c r="H100" s="19"/>
    </row>
    <row r="101" spans="1:8" ht="18" customHeight="1" x14ac:dyDescent="0.35">
      <c r="A101" s="51">
        <v>16</v>
      </c>
      <c r="B101" s="56" t="str" cm="1">
        <f t="array" ref="B101:B106">B95:B100</f>
        <v>Store Card</v>
      </c>
      <c r="C101" s="65" cm="1">
        <f t="array" aca="1" ref="C101:C106" ca="1">F95:F100</f>
        <v>0</v>
      </c>
      <c r="D101" s="65">
        <f ca="1">IF(B101="","", ROUND(C101 * (VLOOKUP(B101, '💳 Debt Input'!$A$4:$G$9, 3, FALSE) / 12), 2))</f>
        <v>0</v>
      </c>
      <c r="E101" s="65" cm="1">
        <f t="array" aca="1" ref="E101" ca="1">IF(B101="","", ROUND(MIN(C101+D101, MAX(VLOOKUP(B101,'💳 Debt Input'!$A$4:$G$9,4,FALSE), $F$3 - IFERROR(SUM(OFFSET(E101, -MOD(ROW()-6, 6), 0, MOD(ROW()-6, 6))), 0) - IFERROR(SUM(SUMIF('💳 Debt Input'!$A$4:$A$9, OFFSET(B101, 1, 0, 5-MOD(ROW()-6, 6)), '💳 Debt Input'!$D$4:$D$9)), 0))), 2))</f>
        <v>0</v>
      </c>
      <c r="F101" s="65">
        <f t="shared" ca="1" si="3"/>
        <v>0</v>
      </c>
      <c r="G101" s="25" t="str">
        <f t="shared" ca="1" si="2"/>
        <v>Paid off</v>
      </c>
      <c r="H101" s="25"/>
    </row>
    <row r="102" spans="1:8" ht="18" customHeight="1" x14ac:dyDescent="0.35">
      <c r="A102" s="52"/>
      <c r="B102" s="26" t="str">
        <v>Medical Bill</v>
      </c>
      <c r="C102" s="66">
        <f ca="1"/>
        <v>0</v>
      </c>
      <c r="D102" s="66">
        <f ca="1">IF(B102="","", ROUND(C102 * (VLOOKUP(B102, '💳 Debt Input'!$A$4:$G$9, 3, FALSE) / 12), 2))</f>
        <v>0</v>
      </c>
      <c r="E102" s="66" cm="1">
        <f t="array" aca="1" ref="E102" ca="1">IF(B102="","", ROUND(MIN(C102+D102, MAX(VLOOKUP(B102,'💳 Debt Input'!$A$4:$G$9,4,FALSE), $F$3 - IFERROR(SUM(OFFSET(E102, -MOD(ROW()-6, 6), 0, MOD(ROW()-6, 6))), 0) - IFERROR(SUM(SUMIF('💳 Debt Input'!$A$4:$A$9, OFFSET(B102, 1, 0, 5-MOD(ROW()-6, 6)), '💳 Debt Input'!$D$4:$D$9)), 0))), 2))</f>
        <v>0</v>
      </c>
      <c r="F102" s="66">
        <f t="shared" ca="1" si="3"/>
        <v>0</v>
      </c>
      <c r="G102" s="28" t="str">
        <f t="shared" ca="1" si="2"/>
        <v>Paid off</v>
      </c>
      <c r="H102" s="28"/>
    </row>
    <row r="103" spans="1:8" ht="18" customHeight="1" x14ac:dyDescent="0.35">
      <c r="A103" s="49"/>
      <c r="B103" s="6" t="str">
        <v>Personal Loan</v>
      </c>
      <c r="C103" s="63">
        <f ca="1"/>
        <v>365.21</v>
      </c>
      <c r="D103" s="63">
        <f ca="1">IF(B103="","", ROUND(C103 * (VLOOKUP(B103, '💳 Debt Input'!$A$4:$G$9, 3, FALSE) / 12), 2))</f>
        <v>1.83</v>
      </c>
      <c r="E103" s="63" cm="1">
        <f t="array" aca="1" ref="E103" ca="1">IF(B103="","", ROUND(MIN(C103+D103, MAX(VLOOKUP(B103,'💳 Debt Input'!$A$4:$G$9,4,FALSE), $F$3 - IFERROR(SUM(OFFSET(E103, -MOD(ROW()-6, 6), 0, MOD(ROW()-6, 6))), 0) - IFERROR(SUM(SUMIF('💳 Debt Input'!$A$4:$A$9, OFFSET(B103, 1, 0, 5-MOD(ROW()-6, 6)), '💳 Debt Input'!$D$4:$D$9)), 0))), 2))</f>
        <v>115</v>
      </c>
      <c r="F103" s="63">
        <f t="shared" ca="1" si="3"/>
        <v>252.04</v>
      </c>
      <c r="G103" s="22" t="str">
        <f t="shared" ca="1" si="2"/>
        <v>Active</v>
      </c>
      <c r="H103" s="22"/>
    </row>
    <row r="104" spans="1:8" ht="18" customHeight="1" x14ac:dyDescent="0.35">
      <c r="A104" s="49"/>
      <c r="B104" s="6" t="str">
        <v>Auto Loan</v>
      </c>
      <c r="C104" s="63">
        <f ca="1"/>
        <v>2621.35</v>
      </c>
      <c r="D104" s="63">
        <f ca="1">IF(B104="","", ROUND(C104 * (VLOOKUP(B104, '💳 Debt Input'!$A$4:$G$9, 3, FALSE) / 12), 2))</f>
        <v>21.84</v>
      </c>
      <c r="E104" s="63" cm="1">
        <f t="array" aca="1" ref="E104" ca="1">IF(B104="","", ROUND(MIN(C104+D104, MAX(VLOOKUP(B104,'💳 Debt Input'!$A$4:$G$9,4,FALSE), $F$3 - IFERROR(SUM(OFFSET(E104, -MOD(ROW()-6, 6), 0, MOD(ROW()-6, 6))), 0) - IFERROR(SUM(SUMIF('💳 Debt Input'!$A$4:$A$9, OFFSET(B104, 1, 0, 5-MOD(ROW()-6, 6)), '💳 Debt Input'!$D$4:$D$9)), 0))), 2))</f>
        <v>120</v>
      </c>
      <c r="F104" s="63">
        <f t="shared" ca="1" si="3"/>
        <v>2523.19</v>
      </c>
      <c r="G104" s="22" t="str">
        <f t="shared" ca="1" si="2"/>
        <v>Active</v>
      </c>
      <c r="H104" s="22"/>
    </row>
    <row r="105" spans="1:8" ht="18" customHeight="1" x14ac:dyDescent="0.35">
      <c r="A105" s="49"/>
      <c r="B105" s="6" t="str">
        <v>Travel Card</v>
      </c>
      <c r="C105" s="63">
        <f ca="1"/>
        <v>6747.92</v>
      </c>
      <c r="D105" s="63">
        <f ca="1">IF(B105="","", ROUND(C105 * (VLOOKUP(B105, '💳 Debt Input'!$A$4:$G$9, 3, FALSE) / 12), 2))</f>
        <v>101.22</v>
      </c>
      <c r="E105" s="63" cm="1">
        <f t="array" aca="1" ref="E105" ca="1">IF(B105="","", ROUND(MIN(C105+D105, MAX(VLOOKUP(B105,'💳 Debt Input'!$A$4:$G$9,4,FALSE), $F$3 - IFERROR(SUM(OFFSET(E105, -MOD(ROW()-6, 6), 0, MOD(ROW()-6, 6))), 0) - IFERROR(SUM(SUMIF('💳 Debt Input'!$A$4:$A$9, OFFSET(B105, 1, 0, 5-MOD(ROW()-6, 6)), '💳 Debt Input'!$D$4:$D$9)), 0))), 2))</f>
        <v>270</v>
      </c>
      <c r="F105" s="63">
        <f t="shared" ca="1" si="3"/>
        <v>6579.14</v>
      </c>
      <c r="G105" s="22" t="str">
        <f t="shared" ca="1" si="2"/>
        <v>Active</v>
      </c>
      <c r="H105" s="22"/>
    </row>
    <row r="106" spans="1:8" ht="18" customHeight="1" x14ac:dyDescent="0.35">
      <c r="A106" s="49"/>
      <c r="B106" s="6" t="str">
        <v>Rewards Visa</v>
      </c>
      <c r="C106" s="63">
        <f ca="1"/>
        <v>16000</v>
      </c>
      <c r="D106" s="63">
        <f ca="1">IF(B106="","", ROUND(C106 * (VLOOKUP(B106, '💳 Debt Input'!$A$4:$G$9, 3, FALSE) / 12), 2))</f>
        <v>480</v>
      </c>
      <c r="E106" s="63" cm="1">
        <f t="array" aca="1" ref="E106" ca="1">IF(B106="","", ROUND(MIN(C106+D106, MAX(VLOOKUP(B106,'💳 Debt Input'!$A$4:$G$9,4,FALSE), $F$3 - IFERROR(SUM(OFFSET(E106, -MOD(ROW()-6, 6), 0, MOD(ROW()-6, 6))), 0) - IFERROR(SUM(SUMIF('💳 Debt Input'!$A$4:$A$9, OFFSET(B106, 1, 0, 5-MOD(ROW()-6, 6)), '💳 Debt Input'!$D$4:$D$9)), 0))), 2))</f>
        <v>480</v>
      </c>
      <c r="F106" s="63">
        <f t="shared" ca="1" si="3"/>
        <v>16000</v>
      </c>
      <c r="G106" s="22" t="str">
        <f t="shared" ca="1" si="2"/>
        <v>Active</v>
      </c>
      <c r="H106" s="22"/>
    </row>
    <row r="107" spans="1:8" ht="18" customHeight="1" x14ac:dyDescent="0.35">
      <c r="A107" s="51">
        <v>17</v>
      </c>
      <c r="B107" s="56" t="str" cm="1">
        <f t="array" ref="B107:B112">B101:B106</f>
        <v>Store Card</v>
      </c>
      <c r="C107" s="65" cm="1">
        <f t="array" aca="1" ref="C107:C112" ca="1">F101:F106</f>
        <v>0</v>
      </c>
      <c r="D107" s="65">
        <f ca="1">IF(B107="","", ROUND(C107 * (VLOOKUP(B107, '💳 Debt Input'!$A$4:$G$9, 3, FALSE) / 12), 2))</f>
        <v>0</v>
      </c>
      <c r="E107" s="65" cm="1">
        <f t="array" aca="1" ref="E107" ca="1">IF(B107="","", ROUND(MIN(C107+D107, MAX(VLOOKUP(B107,'💳 Debt Input'!$A$4:$G$9,4,FALSE), $F$3 - IFERROR(SUM(OFFSET(E107, -MOD(ROW()-6, 6), 0, MOD(ROW()-6, 6))), 0) - IFERROR(SUM(SUMIF('💳 Debt Input'!$A$4:$A$9, OFFSET(B107, 1, 0, 5-MOD(ROW()-6, 6)), '💳 Debt Input'!$D$4:$D$9)), 0))), 2))</f>
        <v>0</v>
      </c>
      <c r="F107" s="65">
        <f t="shared" ca="1" si="3"/>
        <v>0</v>
      </c>
      <c r="G107" s="25" t="str">
        <f t="shared" ca="1" si="2"/>
        <v>Paid off</v>
      </c>
      <c r="H107" s="25"/>
    </row>
    <row r="108" spans="1:8" ht="18" customHeight="1" x14ac:dyDescent="0.35">
      <c r="A108" s="52"/>
      <c r="B108" s="26" t="str">
        <v>Medical Bill</v>
      </c>
      <c r="C108" s="66">
        <f ca="1"/>
        <v>0</v>
      </c>
      <c r="D108" s="66">
        <f ca="1">IF(B108="","", ROUND(C108 * (VLOOKUP(B108, '💳 Debt Input'!$A$4:$G$9, 3, FALSE) / 12), 2))</f>
        <v>0</v>
      </c>
      <c r="E108" s="66" cm="1">
        <f t="array" aca="1" ref="E108" ca="1">IF(B108="","", ROUND(MIN(C108+D108, MAX(VLOOKUP(B108,'💳 Debt Input'!$A$4:$G$9,4,FALSE), $F$3 - IFERROR(SUM(OFFSET(E108, -MOD(ROW()-6, 6), 0, MOD(ROW()-6, 6))), 0) - IFERROR(SUM(SUMIF('💳 Debt Input'!$A$4:$A$9, OFFSET(B108, 1, 0, 5-MOD(ROW()-6, 6)), '💳 Debt Input'!$D$4:$D$9)), 0))), 2))</f>
        <v>0</v>
      </c>
      <c r="F108" s="66">
        <f t="shared" ca="1" si="3"/>
        <v>0</v>
      </c>
      <c r="G108" s="28" t="str">
        <f t="shared" ca="1" si="2"/>
        <v>Paid off</v>
      </c>
      <c r="H108" s="28"/>
    </row>
    <row r="109" spans="1:8" ht="18" customHeight="1" x14ac:dyDescent="0.35">
      <c r="A109" s="47"/>
      <c r="B109" s="8" t="str">
        <v>Personal Loan</v>
      </c>
      <c r="C109" s="61">
        <f ca="1"/>
        <v>252.04</v>
      </c>
      <c r="D109" s="61">
        <f ca="1">IF(B109="","", ROUND(C109 * (VLOOKUP(B109, '💳 Debt Input'!$A$4:$G$9, 3, FALSE) / 12), 2))</f>
        <v>1.26</v>
      </c>
      <c r="E109" s="61" cm="1">
        <f t="array" aca="1" ref="E109" ca="1">IF(B109="","", ROUND(MIN(C109+D109, MAX(VLOOKUP(B109,'💳 Debt Input'!$A$4:$G$9,4,FALSE), $F$3 - IFERROR(SUM(OFFSET(E109, -MOD(ROW()-6, 6), 0, MOD(ROW()-6, 6))), 0) - IFERROR(SUM(SUMIF('💳 Debt Input'!$A$4:$A$9, OFFSET(B109, 1, 0, 5-MOD(ROW()-6, 6)), '💳 Debt Input'!$D$4:$D$9)), 0))), 2))</f>
        <v>115</v>
      </c>
      <c r="F109" s="61">
        <f t="shared" ca="1" si="3"/>
        <v>138.30000000000001</v>
      </c>
      <c r="G109" s="19" t="str">
        <f t="shared" ca="1" si="2"/>
        <v>Active</v>
      </c>
      <c r="H109" s="19"/>
    </row>
    <row r="110" spans="1:8" ht="18" customHeight="1" x14ac:dyDescent="0.35">
      <c r="A110" s="47"/>
      <c r="B110" s="8" t="str">
        <v>Auto Loan</v>
      </c>
      <c r="C110" s="61">
        <f ca="1"/>
        <v>2523.19</v>
      </c>
      <c r="D110" s="61">
        <f ca="1">IF(B110="","", ROUND(C110 * (VLOOKUP(B110, '💳 Debt Input'!$A$4:$G$9, 3, FALSE) / 12), 2))</f>
        <v>21.03</v>
      </c>
      <c r="E110" s="61" cm="1">
        <f t="array" aca="1" ref="E110" ca="1">IF(B110="","", ROUND(MIN(C110+D110, MAX(VLOOKUP(B110,'💳 Debt Input'!$A$4:$G$9,4,FALSE), $F$3 - IFERROR(SUM(OFFSET(E110, -MOD(ROW()-6, 6), 0, MOD(ROW()-6, 6))), 0) - IFERROR(SUM(SUMIF('💳 Debt Input'!$A$4:$A$9, OFFSET(B110, 1, 0, 5-MOD(ROW()-6, 6)), '💳 Debt Input'!$D$4:$D$9)), 0))), 2))</f>
        <v>120</v>
      </c>
      <c r="F110" s="61">
        <f t="shared" ca="1" si="3"/>
        <v>2424.2199999999998</v>
      </c>
      <c r="G110" s="19" t="str">
        <f t="shared" ca="1" si="2"/>
        <v>Active</v>
      </c>
      <c r="H110" s="19"/>
    </row>
    <row r="111" spans="1:8" ht="18" customHeight="1" x14ac:dyDescent="0.35">
      <c r="A111" s="47"/>
      <c r="B111" s="8" t="str">
        <v>Travel Card</v>
      </c>
      <c r="C111" s="61">
        <f ca="1"/>
        <v>6579.14</v>
      </c>
      <c r="D111" s="61">
        <f ca="1">IF(B111="","", ROUND(C111 * (VLOOKUP(B111, '💳 Debt Input'!$A$4:$G$9, 3, FALSE) / 12), 2))</f>
        <v>98.69</v>
      </c>
      <c r="E111" s="61" cm="1">
        <f t="array" aca="1" ref="E111" ca="1">IF(B111="","", ROUND(MIN(C111+D111, MAX(VLOOKUP(B111,'💳 Debt Input'!$A$4:$G$9,4,FALSE), $F$3 - IFERROR(SUM(OFFSET(E111, -MOD(ROW()-6, 6), 0, MOD(ROW()-6, 6))), 0) - IFERROR(SUM(SUMIF('💳 Debt Input'!$A$4:$A$9, OFFSET(B111, 1, 0, 5-MOD(ROW()-6, 6)), '💳 Debt Input'!$D$4:$D$9)), 0))), 2))</f>
        <v>270</v>
      </c>
      <c r="F111" s="61">
        <f t="shared" ca="1" si="3"/>
        <v>6407.83</v>
      </c>
      <c r="G111" s="19" t="str">
        <f t="shared" ca="1" si="2"/>
        <v>Active</v>
      </c>
      <c r="H111" s="19"/>
    </row>
    <row r="112" spans="1:8" ht="18" customHeight="1" x14ac:dyDescent="0.35">
      <c r="A112" s="47"/>
      <c r="B112" s="8" t="str">
        <v>Rewards Visa</v>
      </c>
      <c r="C112" s="61">
        <f ca="1"/>
        <v>16000</v>
      </c>
      <c r="D112" s="61">
        <f ca="1">IF(B112="","", ROUND(C112 * (VLOOKUP(B112, '💳 Debt Input'!$A$4:$G$9, 3, FALSE) / 12), 2))</f>
        <v>480</v>
      </c>
      <c r="E112" s="61" cm="1">
        <f t="array" aca="1" ref="E112" ca="1">IF(B112="","", ROUND(MIN(C112+D112, MAX(VLOOKUP(B112,'💳 Debt Input'!$A$4:$G$9,4,FALSE), $F$3 - IFERROR(SUM(OFFSET(E112, -MOD(ROW()-6, 6), 0, MOD(ROW()-6, 6))), 0) - IFERROR(SUM(SUMIF('💳 Debt Input'!$A$4:$A$9, OFFSET(B112, 1, 0, 5-MOD(ROW()-6, 6)), '💳 Debt Input'!$D$4:$D$9)), 0))), 2))</f>
        <v>480</v>
      </c>
      <c r="F112" s="61">
        <f t="shared" ca="1" si="3"/>
        <v>16000</v>
      </c>
      <c r="G112" s="19" t="str">
        <f t="shared" ca="1" si="2"/>
        <v>Active</v>
      </c>
      <c r="H112" s="19"/>
    </row>
    <row r="113" spans="1:8" ht="18" customHeight="1" x14ac:dyDescent="0.35">
      <c r="A113" s="51">
        <v>18</v>
      </c>
      <c r="B113" s="56" t="str" cm="1">
        <f t="array" ref="B113:B118">B107:B112</f>
        <v>Store Card</v>
      </c>
      <c r="C113" s="65" cm="1">
        <f t="array" aca="1" ref="C113:C118" ca="1">F107:F112</f>
        <v>0</v>
      </c>
      <c r="D113" s="65">
        <f ca="1">IF(B113="","", ROUND(C113 * (VLOOKUP(B113, '💳 Debt Input'!$A$4:$G$9, 3, FALSE) / 12), 2))</f>
        <v>0</v>
      </c>
      <c r="E113" s="65" cm="1">
        <f t="array" aca="1" ref="E113" ca="1">IF(B113="","", ROUND(MIN(C113+D113, MAX(VLOOKUP(B113,'💳 Debt Input'!$A$4:$G$9,4,FALSE), $F$3 - IFERROR(SUM(OFFSET(E113, -MOD(ROW()-6, 6), 0, MOD(ROW()-6, 6))), 0) - IFERROR(SUM(SUMIF('💳 Debt Input'!$A$4:$A$9, OFFSET(B113, 1, 0, 5-MOD(ROW()-6, 6)), '💳 Debt Input'!$D$4:$D$9)), 0))), 2))</f>
        <v>0</v>
      </c>
      <c r="F113" s="65">
        <f t="shared" ca="1" si="3"/>
        <v>0</v>
      </c>
      <c r="G113" s="25" t="str">
        <f t="shared" ca="1" si="2"/>
        <v>Paid off</v>
      </c>
      <c r="H113" s="25"/>
    </row>
    <row r="114" spans="1:8" ht="18" customHeight="1" x14ac:dyDescent="0.35">
      <c r="A114" s="52"/>
      <c r="B114" s="26" t="str">
        <v>Medical Bill</v>
      </c>
      <c r="C114" s="66">
        <f ca="1"/>
        <v>0</v>
      </c>
      <c r="D114" s="66">
        <f ca="1">IF(B114="","", ROUND(C114 * (VLOOKUP(B114, '💳 Debt Input'!$A$4:$G$9, 3, FALSE) / 12), 2))</f>
        <v>0</v>
      </c>
      <c r="E114" s="66" cm="1">
        <f t="array" aca="1" ref="E114" ca="1">IF(B114="","", ROUND(MIN(C114+D114, MAX(VLOOKUP(B114,'💳 Debt Input'!$A$4:$G$9,4,FALSE), $F$3 - IFERROR(SUM(OFFSET(E114, -MOD(ROW()-6, 6), 0, MOD(ROW()-6, 6))), 0) - IFERROR(SUM(SUMIF('💳 Debt Input'!$A$4:$A$9, OFFSET(B114, 1, 0, 5-MOD(ROW()-6, 6)), '💳 Debt Input'!$D$4:$D$9)), 0))), 2))</f>
        <v>0</v>
      </c>
      <c r="F114" s="66">
        <f t="shared" ca="1" si="3"/>
        <v>0</v>
      </c>
      <c r="G114" s="28" t="str">
        <f t="shared" ca="1" si="2"/>
        <v>Paid off</v>
      </c>
      <c r="H114" s="28"/>
    </row>
    <row r="115" spans="1:8" ht="18" customHeight="1" x14ac:dyDescent="0.35">
      <c r="A115" s="49"/>
      <c r="B115" s="6" t="str">
        <v>Personal Loan</v>
      </c>
      <c r="C115" s="63">
        <f ca="1"/>
        <v>138.30000000000001</v>
      </c>
      <c r="D115" s="63">
        <f ca="1">IF(B115="","", ROUND(C115 * (VLOOKUP(B115, '💳 Debt Input'!$A$4:$G$9, 3, FALSE) / 12), 2))</f>
        <v>0.69</v>
      </c>
      <c r="E115" s="63" cm="1">
        <f t="array" aca="1" ref="E115" ca="1">IF(B115="","", ROUND(MIN(C115+D115, MAX(VLOOKUP(B115,'💳 Debt Input'!$A$4:$G$9,4,FALSE), $F$3 - IFERROR(SUM(OFFSET(E115, -MOD(ROW()-6, 6), 0, MOD(ROW()-6, 6))), 0) - IFERROR(SUM(SUMIF('💳 Debt Input'!$A$4:$A$9, OFFSET(B115, 1, 0, 5-MOD(ROW()-6, 6)), '💳 Debt Input'!$D$4:$D$9)), 0))), 2))</f>
        <v>115</v>
      </c>
      <c r="F115" s="63">
        <f t="shared" ca="1" si="3"/>
        <v>23.99</v>
      </c>
      <c r="G115" s="22" t="str">
        <f t="shared" ca="1" si="2"/>
        <v>Active</v>
      </c>
      <c r="H115" s="22"/>
    </row>
    <row r="116" spans="1:8" ht="18" customHeight="1" x14ac:dyDescent="0.35">
      <c r="A116" s="49"/>
      <c r="B116" s="6" t="str">
        <v>Auto Loan</v>
      </c>
      <c r="C116" s="63">
        <f ca="1"/>
        <v>2424.2199999999998</v>
      </c>
      <c r="D116" s="63">
        <f ca="1">IF(B116="","", ROUND(C116 * (VLOOKUP(B116, '💳 Debt Input'!$A$4:$G$9, 3, FALSE) / 12), 2))</f>
        <v>20.2</v>
      </c>
      <c r="E116" s="63" cm="1">
        <f t="array" aca="1" ref="E116" ca="1">IF(B116="","", ROUND(MIN(C116+D116, MAX(VLOOKUP(B116,'💳 Debt Input'!$A$4:$G$9,4,FALSE), $F$3 - IFERROR(SUM(OFFSET(E116, -MOD(ROW()-6, 6), 0, MOD(ROW()-6, 6))), 0) - IFERROR(SUM(SUMIF('💳 Debt Input'!$A$4:$A$9, OFFSET(B116, 1, 0, 5-MOD(ROW()-6, 6)), '💳 Debt Input'!$D$4:$D$9)), 0))), 2))</f>
        <v>120</v>
      </c>
      <c r="F116" s="63">
        <f t="shared" ca="1" si="3"/>
        <v>2324.42</v>
      </c>
      <c r="G116" s="22" t="str">
        <f t="shared" ca="1" si="2"/>
        <v>Active</v>
      </c>
      <c r="H116" s="22"/>
    </row>
    <row r="117" spans="1:8" ht="18" customHeight="1" x14ac:dyDescent="0.35">
      <c r="A117" s="49"/>
      <c r="B117" s="6" t="str">
        <v>Travel Card</v>
      </c>
      <c r="C117" s="63">
        <f ca="1"/>
        <v>6407.83</v>
      </c>
      <c r="D117" s="63">
        <f ca="1">IF(B117="","", ROUND(C117 * (VLOOKUP(B117, '💳 Debt Input'!$A$4:$G$9, 3, FALSE) / 12), 2))</f>
        <v>96.12</v>
      </c>
      <c r="E117" s="63" cm="1">
        <f t="array" aca="1" ref="E117" ca="1">IF(B117="","", ROUND(MIN(C117+D117, MAX(VLOOKUP(B117,'💳 Debt Input'!$A$4:$G$9,4,FALSE), $F$3 - IFERROR(SUM(OFFSET(E117, -MOD(ROW()-6, 6), 0, MOD(ROW()-6, 6))), 0) - IFERROR(SUM(SUMIF('💳 Debt Input'!$A$4:$A$9, OFFSET(B117, 1, 0, 5-MOD(ROW()-6, 6)), '💳 Debt Input'!$D$4:$D$9)), 0))), 2))</f>
        <v>270</v>
      </c>
      <c r="F117" s="63">
        <f t="shared" ca="1" si="3"/>
        <v>6233.95</v>
      </c>
      <c r="G117" s="22" t="str">
        <f t="shared" ca="1" si="2"/>
        <v>Active</v>
      </c>
      <c r="H117" s="22"/>
    </row>
    <row r="118" spans="1:8" ht="18" customHeight="1" x14ac:dyDescent="0.35">
      <c r="A118" s="49"/>
      <c r="B118" s="6" t="str">
        <v>Rewards Visa</v>
      </c>
      <c r="C118" s="63">
        <f ca="1"/>
        <v>16000</v>
      </c>
      <c r="D118" s="63">
        <f ca="1">IF(B118="","", ROUND(C118 * (VLOOKUP(B118, '💳 Debt Input'!$A$4:$G$9, 3, FALSE) / 12), 2))</f>
        <v>480</v>
      </c>
      <c r="E118" s="63" cm="1">
        <f t="array" aca="1" ref="E118" ca="1">IF(B118="","", ROUND(MIN(C118+D118, MAX(VLOOKUP(B118,'💳 Debt Input'!$A$4:$G$9,4,FALSE), $F$3 - IFERROR(SUM(OFFSET(E118, -MOD(ROW()-6, 6), 0, MOD(ROW()-6, 6))), 0) - IFERROR(SUM(SUMIF('💳 Debt Input'!$A$4:$A$9, OFFSET(B118, 1, 0, 5-MOD(ROW()-6, 6)), '💳 Debt Input'!$D$4:$D$9)), 0))), 2))</f>
        <v>480</v>
      </c>
      <c r="F118" s="63">
        <f t="shared" ca="1" si="3"/>
        <v>16000</v>
      </c>
      <c r="G118" s="22" t="str">
        <f t="shared" ca="1" si="2"/>
        <v>Active</v>
      </c>
      <c r="H118" s="22"/>
    </row>
    <row r="119" spans="1:8" ht="18" customHeight="1" x14ac:dyDescent="0.35">
      <c r="A119" s="51">
        <v>19</v>
      </c>
      <c r="B119" s="56" t="str" cm="1">
        <f t="array" ref="B119:B124">B113:B118</f>
        <v>Store Card</v>
      </c>
      <c r="C119" s="65" cm="1">
        <f t="array" aca="1" ref="C119:C124" ca="1">F113:F118</f>
        <v>0</v>
      </c>
      <c r="D119" s="65">
        <f ca="1">IF(B119="","", ROUND(C119 * (VLOOKUP(B119, '💳 Debt Input'!$A$4:$G$9, 3, FALSE) / 12), 2))</f>
        <v>0</v>
      </c>
      <c r="E119" s="65" cm="1">
        <f t="array" aca="1" ref="E119" ca="1">IF(B119="","", ROUND(MIN(C119+D119, MAX(VLOOKUP(B119,'💳 Debt Input'!$A$4:$G$9,4,FALSE), $F$3 - IFERROR(SUM(OFFSET(E119, -MOD(ROW()-6, 6), 0, MOD(ROW()-6, 6))), 0) - IFERROR(SUM(SUMIF('💳 Debt Input'!$A$4:$A$9, OFFSET(B119, 1, 0, 5-MOD(ROW()-6, 6)), '💳 Debt Input'!$D$4:$D$9)), 0))), 2))</f>
        <v>0</v>
      </c>
      <c r="F119" s="65">
        <f t="shared" ca="1" si="3"/>
        <v>0</v>
      </c>
      <c r="G119" s="25" t="str">
        <f t="shared" ca="1" si="2"/>
        <v>Paid off</v>
      </c>
      <c r="H119" s="25"/>
    </row>
    <row r="120" spans="1:8" ht="18" customHeight="1" x14ac:dyDescent="0.35">
      <c r="A120" s="52"/>
      <c r="B120" s="26" t="str">
        <v>Medical Bill</v>
      </c>
      <c r="C120" s="66">
        <f ca="1"/>
        <v>0</v>
      </c>
      <c r="D120" s="66">
        <f ca="1">IF(B120="","", ROUND(C120 * (VLOOKUP(B120, '💳 Debt Input'!$A$4:$G$9, 3, FALSE) / 12), 2))</f>
        <v>0</v>
      </c>
      <c r="E120" s="66" cm="1">
        <f t="array" aca="1" ref="E120" ca="1">IF(B120="","", ROUND(MIN(C120+D120, MAX(VLOOKUP(B120,'💳 Debt Input'!$A$4:$G$9,4,FALSE), $F$3 - IFERROR(SUM(OFFSET(E120, -MOD(ROW()-6, 6), 0, MOD(ROW()-6, 6))), 0) - IFERROR(SUM(SUMIF('💳 Debt Input'!$A$4:$A$9, OFFSET(B120, 1, 0, 5-MOD(ROW()-6, 6)), '💳 Debt Input'!$D$4:$D$9)), 0))), 2))</f>
        <v>0</v>
      </c>
      <c r="F120" s="66">
        <f t="shared" ca="1" si="3"/>
        <v>0</v>
      </c>
      <c r="G120" s="28" t="str">
        <f t="shared" ca="1" si="2"/>
        <v>Paid off</v>
      </c>
      <c r="H120" s="28"/>
    </row>
    <row r="121" spans="1:8" ht="18" customHeight="1" x14ac:dyDescent="0.35">
      <c r="A121" s="47"/>
      <c r="B121" s="8" t="str">
        <v>Personal Loan</v>
      </c>
      <c r="C121" s="61">
        <f ca="1"/>
        <v>23.99</v>
      </c>
      <c r="D121" s="61">
        <f ca="1">IF(B121="","", ROUND(C121 * (VLOOKUP(B121, '💳 Debt Input'!$A$4:$G$9, 3, FALSE) / 12), 2))</f>
        <v>0.12</v>
      </c>
      <c r="E121" s="61" cm="1">
        <f t="array" aca="1" ref="E121" ca="1">IF(B121="","", ROUND(MIN(C121+D121, MAX(VLOOKUP(B121,'💳 Debt Input'!$A$4:$G$9,4,FALSE), $F$3 - IFERROR(SUM(OFFSET(E121, -MOD(ROW()-6, 6), 0, MOD(ROW()-6, 6))), 0) - IFERROR(SUM(SUMIF('💳 Debt Input'!$A$4:$A$9, OFFSET(B121, 1, 0, 5-MOD(ROW()-6, 6)), '💳 Debt Input'!$D$4:$D$9)), 0))), 2))</f>
        <v>24.11</v>
      </c>
      <c r="F121" s="61">
        <f t="shared" ca="1" si="3"/>
        <v>0</v>
      </c>
      <c r="G121" s="19" t="str">
        <f t="shared" ca="1" si="2"/>
        <v>Paid off</v>
      </c>
      <c r="H121" s="19"/>
    </row>
    <row r="122" spans="1:8" ht="18" customHeight="1" x14ac:dyDescent="0.35">
      <c r="A122" s="47"/>
      <c r="B122" s="8" t="str">
        <v>Auto Loan</v>
      </c>
      <c r="C122" s="61">
        <f ca="1"/>
        <v>2324.42</v>
      </c>
      <c r="D122" s="61">
        <f ca="1">IF(B122="","", ROUND(C122 * (VLOOKUP(B122, '💳 Debt Input'!$A$4:$G$9, 3, FALSE) / 12), 2))</f>
        <v>19.37</v>
      </c>
      <c r="E122" s="61" cm="1">
        <f t="array" aca="1" ref="E122" ca="1">IF(B122="","", ROUND(MIN(C122+D122, MAX(VLOOKUP(B122,'💳 Debt Input'!$A$4:$G$9,4,FALSE), $F$3 - IFERROR(SUM(OFFSET(E122, -MOD(ROW()-6, 6), 0, MOD(ROW()-6, 6))), 0) - IFERROR(SUM(SUMIF('💳 Debt Input'!$A$4:$A$9, OFFSET(B122, 1, 0, 5-MOD(ROW()-6, 6)), '💳 Debt Input'!$D$4:$D$9)), 0))), 2))</f>
        <v>210.89</v>
      </c>
      <c r="F122" s="61">
        <f t="shared" ca="1" si="3"/>
        <v>2132.9</v>
      </c>
      <c r="G122" s="19" t="str">
        <f t="shared" ca="1" si="2"/>
        <v>Active</v>
      </c>
      <c r="H122" s="19"/>
    </row>
    <row r="123" spans="1:8" ht="18" customHeight="1" x14ac:dyDescent="0.35">
      <c r="A123" s="47"/>
      <c r="B123" s="8" t="str">
        <v>Travel Card</v>
      </c>
      <c r="C123" s="61">
        <f ca="1"/>
        <v>6233.95</v>
      </c>
      <c r="D123" s="61">
        <f ca="1">IF(B123="","", ROUND(C123 * (VLOOKUP(B123, '💳 Debt Input'!$A$4:$G$9, 3, FALSE) / 12), 2))</f>
        <v>93.51</v>
      </c>
      <c r="E123" s="61" cm="1">
        <f t="array" aca="1" ref="E123" ca="1">IF(B123="","", ROUND(MIN(C123+D123, MAX(VLOOKUP(B123,'💳 Debt Input'!$A$4:$G$9,4,FALSE), $F$3 - IFERROR(SUM(OFFSET(E123, -MOD(ROW()-6, 6), 0, MOD(ROW()-6, 6))), 0) - IFERROR(SUM(SUMIF('💳 Debt Input'!$A$4:$A$9, OFFSET(B123, 1, 0, 5-MOD(ROW()-6, 6)), '💳 Debt Input'!$D$4:$D$9)), 0))), 2))</f>
        <v>270</v>
      </c>
      <c r="F123" s="61">
        <f t="shared" ca="1" si="3"/>
        <v>6057.46</v>
      </c>
      <c r="G123" s="19" t="str">
        <f t="shared" ca="1" si="2"/>
        <v>Active</v>
      </c>
      <c r="H123" s="19"/>
    </row>
    <row r="124" spans="1:8" ht="18" customHeight="1" x14ac:dyDescent="0.35">
      <c r="A124" s="47"/>
      <c r="B124" s="8" t="str">
        <v>Rewards Visa</v>
      </c>
      <c r="C124" s="61">
        <f ca="1"/>
        <v>16000</v>
      </c>
      <c r="D124" s="61">
        <f ca="1">IF(B124="","", ROUND(C124 * (VLOOKUP(B124, '💳 Debt Input'!$A$4:$G$9, 3, FALSE) / 12), 2))</f>
        <v>480</v>
      </c>
      <c r="E124" s="61" cm="1">
        <f t="array" aca="1" ref="E124" ca="1">IF(B124="","", ROUND(MIN(C124+D124, MAX(VLOOKUP(B124,'💳 Debt Input'!$A$4:$G$9,4,FALSE), $F$3 - IFERROR(SUM(OFFSET(E124, -MOD(ROW()-6, 6), 0, MOD(ROW()-6, 6))), 0) - IFERROR(SUM(SUMIF('💳 Debt Input'!$A$4:$A$9, OFFSET(B124, 1, 0, 5-MOD(ROW()-6, 6)), '💳 Debt Input'!$D$4:$D$9)), 0))), 2))</f>
        <v>480</v>
      </c>
      <c r="F124" s="61">
        <f t="shared" ca="1" si="3"/>
        <v>16000</v>
      </c>
      <c r="G124" s="19" t="str">
        <f t="shared" ca="1" si="2"/>
        <v>Active</v>
      </c>
      <c r="H124" s="19"/>
    </row>
    <row r="125" spans="1:8" ht="18" customHeight="1" x14ac:dyDescent="0.35">
      <c r="A125" s="51">
        <v>20</v>
      </c>
      <c r="B125" s="56" t="str" cm="1">
        <f t="array" ref="B125:B130">B119:B124</f>
        <v>Store Card</v>
      </c>
      <c r="C125" s="65" cm="1">
        <f t="array" aca="1" ref="C125:C130" ca="1">F119:F124</f>
        <v>0</v>
      </c>
      <c r="D125" s="65">
        <f ca="1">IF(B125="","", ROUND(C125 * (VLOOKUP(B125, '💳 Debt Input'!$A$4:$G$9, 3, FALSE) / 12), 2))</f>
        <v>0</v>
      </c>
      <c r="E125" s="65" cm="1">
        <f t="array" aca="1" ref="E125" ca="1">IF(B125="","", ROUND(MIN(C125+D125, MAX(VLOOKUP(B125,'💳 Debt Input'!$A$4:$G$9,4,FALSE), $F$3 - IFERROR(SUM(OFFSET(E125, -MOD(ROW()-6, 6), 0, MOD(ROW()-6, 6))), 0) - IFERROR(SUM(SUMIF('💳 Debt Input'!$A$4:$A$9, OFFSET(B125, 1, 0, 5-MOD(ROW()-6, 6)), '💳 Debt Input'!$D$4:$D$9)), 0))), 2))</f>
        <v>0</v>
      </c>
      <c r="F125" s="65">
        <f t="shared" ca="1" si="3"/>
        <v>0</v>
      </c>
      <c r="G125" s="25" t="str">
        <f t="shared" ca="1" si="2"/>
        <v>Paid off</v>
      </c>
      <c r="H125" s="25"/>
    </row>
    <row r="126" spans="1:8" ht="18" customHeight="1" x14ac:dyDescent="0.35">
      <c r="A126" s="52"/>
      <c r="B126" s="26" t="str">
        <v>Medical Bill</v>
      </c>
      <c r="C126" s="66">
        <f ca="1"/>
        <v>0</v>
      </c>
      <c r="D126" s="66">
        <f ca="1">IF(B126="","", ROUND(C126 * (VLOOKUP(B126, '💳 Debt Input'!$A$4:$G$9, 3, FALSE) / 12), 2))</f>
        <v>0</v>
      </c>
      <c r="E126" s="66" cm="1">
        <f t="array" aca="1" ref="E126" ca="1">IF(B126="","", ROUND(MIN(C126+D126, MAX(VLOOKUP(B126,'💳 Debt Input'!$A$4:$G$9,4,FALSE), $F$3 - IFERROR(SUM(OFFSET(E126, -MOD(ROW()-6, 6), 0, MOD(ROW()-6, 6))), 0) - IFERROR(SUM(SUMIF('💳 Debt Input'!$A$4:$A$9, OFFSET(B126, 1, 0, 5-MOD(ROW()-6, 6)), '💳 Debt Input'!$D$4:$D$9)), 0))), 2))</f>
        <v>0</v>
      </c>
      <c r="F126" s="66">
        <f t="shared" ca="1" si="3"/>
        <v>0</v>
      </c>
      <c r="G126" s="28" t="str">
        <f t="shared" ca="1" si="2"/>
        <v>Paid off</v>
      </c>
      <c r="H126" s="28"/>
    </row>
    <row r="127" spans="1:8" ht="18" customHeight="1" x14ac:dyDescent="0.35">
      <c r="A127" s="49"/>
      <c r="B127" s="6" t="str">
        <v>Personal Loan</v>
      </c>
      <c r="C127" s="63">
        <f ca="1"/>
        <v>0</v>
      </c>
      <c r="D127" s="63">
        <f ca="1">IF(B127="","", ROUND(C127 * (VLOOKUP(B127, '💳 Debt Input'!$A$4:$G$9, 3, FALSE) / 12), 2))</f>
        <v>0</v>
      </c>
      <c r="E127" s="63" cm="1">
        <f t="array" aca="1" ref="E127" ca="1">IF(B127="","", ROUND(MIN(C127+D127, MAX(VLOOKUP(B127,'💳 Debt Input'!$A$4:$G$9,4,FALSE), $F$3 - IFERROR(SUM(OFFSET(E127, -MOD(ROW()-6, 6), 0, MOD(ROW()-6, 6))), 0) - IFERROR(SUM(SUMIF('💳 Debt Input'!$A$4:$A$9, OFFSET(B127, 1, 0, 5-MOD(ROW()-6, 6)), '💳 Debt Input'!$D$4:$D$9)), 0))), 2))</f>
        <v>0</v>
      </c>
      <c r="F127" s="63">
        <f t="shared" ca="1" si="3"/>
        <v>0</v>
      </c>
      <c r="G127" s="22" t="str">
        <f t="shared" ca="1" si="2"/>
        <v>Paid off</v>
      </c>
      <c r="H127" s="22"/>
    </row>
    <row r="128" spans="1:8" ht="18" customHeight="1" x14ac:dyDescent="0.35">
      <c r="A128" s="49"/>
      <c r="B128" s="6" t="str">
        <v>Auto Loan</v>
      </c>
      <c r="C128" s="63">
        <f ca="1"/>
        <v>2132.9</v>
      </c>
      <c r="D128" s="63">
        <f ca="1">IF(B128="","", ROUND(C128 * (VLOOKUP(B128, '💳 Debt Input'!$A$4:$G$9, 3, FALSE) / 12), 2))</f>
        <v>17.77</v>
      </c>
      <c r="E128" s="63" cm="1">
        <f t="array" aca="1" ref="E128" ca="1">IF(B128="","", ROUND(MIN(C128+D128, MAX(VLOOKUP(B128,'💳 Debt Input'!$A$4:$G$9,4,FALSE), $F$3 - IFERROR(SUM(OFFSET(E128, -MOD(ROW()-6, 6), 0, MOD(ROW()-6, 6))), 0) - IFERROR(SUM(SUMIF('💳 Debt Input'!$A$4:$A$9, OFFSET(B128, 1, 0, 5-MOD(ROW()-6, 6)), '💳 Debt Input'!$D$4:$D$9)), 0))), 2))</f>
        <v>235</v>
      </c>
      <c r="F128" s="63">
        <f t="shared" ca="1" si="3"/>
        <v>1915.67</v>
      </c>
      <c r="G128" s="22" t="str">
        <f t="shared" ca="1" si="2"/>
        <v>Active</v>
      </c>
      <c r="H128" s="22"/>
    </row>
    <row r="129" spans="1:8" ht="18" customHeight="1" x14ac:dyDescent="0.35">
      <c r="A129" s="49"/>
      <c r="B129" s="6" t="str">
        <v>Travel Card</v>
      </c>
      <c r="C129" s="63">
        <f ca="1"/>
        <v>6057.46</v>
      </c>
      <c r="D129" s="63">
        <f ca="1">IF(B129="","", ROUND(C129 * (VLOOKUP(B129, '💳 Debt Input'!$A$4:$G$9, 3, FALSE) / 12), 2))</f>
        <v>90.86</v>
      </c>
      <c r="E129" s="63" cm="1">
        <f t="array" aca="1" ref="E129" ca="1">IF(B129="","", ROUND(MIN(C129+D129, MAX(VLOOKUP(B129,'💳 Debt Input'!$A$4:$G$9,4,FALSE), $F$3 - IFERROR(SUM(OFFSET(E129, -MOD(ROW()-6, 6), 0, MOD(ROW()-6, 6))), 0) - IFERROR(SUM(SUMIF('💳 Debt Input'!$A$4:$A$9, OFFSET(B129, 1, 0, 5-MOD(ROW()-6, 6)), '💳 Debt Input'!$D$4:$D$9)), 0))), 2))</f>
        <v>270</v>
      </c>
      <c r="F129" s="63">
        <f t="shared" ca="1" si="3"/>
        <v>5878.32</v>
      </c>
      <c r="G129" s="22" t="str">
        <f t="shared" ca="1" si="2"/>
        <v>Active</v>
      </c>
      <c r="H129" s="22"/>
    </row>
    <row r="130" spans="1:8" ht="18" customHeight="1" x14ac:dyDescent="0.35">
      <c r="A130" s="49"/>
      <c r="B130" s="6" t="str">
        <v>Rewards Visa</v>
      </c>
      <c r="C130" s="63">
        <f ca="1"/>
        <v>16000</v>
      </c>
      <c r="D130" s="63">
        <f ca="1">IF(B130="","", ROUND(C130 * (VLOOKUP(B130, '💳 Debt Input'!$A$4:$G$9, 3, FALSE) / 12), 2))</f>
        <v>480</v>
      </c>
      <c r="E130" s="63" cm="1">
        <f t="array" aca="1" ref="E130" ca="1">IF(B130="","", ROUND(MIN(C130+D130, MAX(VLOOKUP(B130,'💳 Debt Input'!$A$4:$G$9,4,FALSE), $F$3 - IFERROR(SUM(OFFSET(E130, -MOD(ROW()-6, 6), 0, MOD(ROW()-6, 6))), 0) - IFERROR(SUM(SUMIF('💳 Debt Input'!$A$4:$A$9, OFFSET(B130, 1, 0, 5-MOD(ROW()-6, 6)), '💳 Debt Input'!$D$4:$D$9)), 0))), 2))</f>
        <v>480</v>
      </c>
      <c r="F130" s="63">
        <f t="shared" ca="1" si="3"/>
        <v>16000</v>
      </c>
      <c r="G130" s="22" t="str">
        <f t="shared" ca="1" si="2"/>
        <v>Active</v>
      </c>
      <c r="H130" s="22"/>
    </row>
    <row r="131" spans="1:8" ht="18" customHeight="1" x14ac:dyDescent="0.35">
      <c r="A131" s="51">
        <v>21</v>
      </c>
      <c r="B131" s="56" t="str" cm="1">
        <f t="array" ref="B131:B136">B125:B130</f>
        <v>Store Card</v>
      </c>
      <c r="C131" s="65" cm="1">
        <f t="array" aca="1" ref="C131:C136" ca="1">F125:F130</f>
        <v>0</v>
      </c>
      <c r="D131" s="65">
        <f ca="1">IF(B131="","", ROUND(C131 * (VLOOKUP(B131, '💳 Debt Input'!$A$4:$G$9, 3, FALSE) / 12), 2))</f>
        <v>0</v>
      </c>
      <c r="E131" s="65" cm="1">
        <f t="array" aca="1" ref="E131" ca="1">IF(B131="","", ROUND(MIN(C131+D131, MAX(VLOOKUP(B131,'💳 Debt Input'!$A$4:$G$9,4,FALSE), $F$3 - IFERROR(SUM(OFFSET(E131, -MOD(ROW()-6, 6), 0, MOD(ROW()-6, 6))), 0) - IFERROR(SUM(SUMIF('💳 Debt Input'!$A$4:$A$9, OFFSET(B131, 1, 0, 5-MOD(ROW()-6, 6)), '💳 Debt Input'!$D$4:$D$9)), 0))), 2))</f>
        <v>0</v>
      </c>
      <c r="F131" s="65">
        <f t="shared" ca="1" si="3"/>
        <v>0</v>
      </c>
      <c r="G131" s="25" t="str">
        <f t="shared" ca="1" si="2"/>
        <v>Paid off</v>
      </c>
      <c r="H131" s="25"/>
    </row>
    <row r="132" spans="1:8" ht="18" customHeight="1" x14ac:dyDescent="0.35">
      <c r="A132" s="52"/>
      <c r="B132" s="26" t="str">
        <v>Medical Bill</v>
      </c>
      <c r="C132" s="66">
        <f ca="1"/>
        <v>0</v>
      </c>
      <c r="D132" s="66">
        <f ca="1">IF(B132="","", ROUND(C132 * (VLOOKUP(B132, '💳 Debt Input'!$A$4:$G$9, 3, FALSE) / 12), 2))</f>
        <v>0</v>
      </c>
      <c r="E132" s="66" cm="1">
        <f t="array" aca="1" ref="E132" ca="1">IF(B132="","", ROUND(MIN(C132+D132, MAX(VLOOKUP(B132,'💳 Debt Input'!$A$4:$G$9,4,FALSE), $F$3 - IFERROR(SUM(OFFSET(E132, -MOD(ROW()-6, 6), 0, MOD(ROW()-6, 6))), 0) - IFERROR(SUM(SUMIF('💳 Debt Input'!$A$4:$A$9, OFFSET(B132, 1, 0, 5-MOD(ROW()-6, 6)), '💳 Debt Input'!$D$4:$D$9)), 0))), 2))</f>
        <v>0</v>
      </c>
      <c r="F132" s="66">
        <f t="shared" ca="1" si="3"/>
        <v>0</v>
      </c>
      <c r="G132" s="28" t="str">
        <f t="shared" ca="1" si="2"/>
        <v>Paid off</v>
      </c>
      <c r="H132" s="28"/>
    </row>
    <row r="133" spans="1:8" ht="18" customHeight="1" x14ac:dyDescent="0.35">
      <c r="A133" s="47"/>
      <c r="B133" s="8" t="str">
        <v>Personal Loan</v>
      </c>
      <c r="C133" s="61">
        <f ca="1"/>
        <v>0</v>
      </c>
      <c r="D133" s="61">
        <f ca="1">IF(B133="","", ROUND(C133 * (VLOOKUP(B133, '💳 Debt Input'!$A$4:$G$9, 3, FALSE) / 12), 2))</f>
        <v>0</v>
      </c>
      <c r="E133" s="61" cm="1">
        <f t="array" aca="1" ref="E133" ca="1">IF(B133="","", ROUND(MIN(C133+D133, MAX(VLOOKUP(B133,'💳 Debt Input'!$A$4:$G$9,4,FALSE), $F$3 - IFERROR(SUM(OFFSET(E133, -MOD(ROW()-6, 6), 0, MOD(ROW()-6, 6))), 0) - IFERROR(SUM(SUMIF('💳 Debt Input'!$A$4:$A$9, OFFSET(B133, 1, 0, 5-MOD(ROW()-6, 6)), '💳 Debt Input'!$D$4:$D$9)), 0))), 2))</f>
        <v>0</v>
      </c>
      <c r="F133" s="61">
        <f t="shared" ca="1" si="3"/>
        <v>0</v>
      </c>
      <c r="G133" s="19" t="str">
        <f t="shared" ca="1" si="2"/>
        <v>Paid off</v>
      </c>
      <c r="H133" s="19"/>
    </row>
    <row r="134" spans="1:8" ht="18" customHeight="1" x14ac:dyDescent="0.35">
      <c r="A134" s="47"/>
      <c r="B134" s="8" t="str">
        <v>Auto Loan</v>
      </c>
      <c r="C134" s="61">
        <f ca="1"/>
        <v>1915.67</v>
      </c>
      <c r="D134" s="61">
        <f ca="1">IF(B134="","", ROUND(C134 * (VLOOKUP(B134, '💳 Debt Input'!$A$4:$G$9, 3, FALSE) / 12), 2))</f>
        <v>15.96</v>
      </c>
      <c r="E134" s="61" cm="1">
        <f t="array" aca="1" ref="E134" ca="1">IF(B134="","", ROUND(MIN(C134+D134, MAX(VLOOKUP(B134,'💳 Debt Input'!$A$4:$G$9,4,FALSE), $F$3 - IFERROR(SUM(OFFSET(E134, -MOD(ROW()-6, 6), 0, MOD(ROW()-6, 6))), 0) - IFERROR(SUM(SUMIF('💳 Debt Input'!$A$4:$A$9, OFFSET(B134, 1, 0, 5-MOD(ROW()-6, 6)), '💳 Debt Input'!$D$4:$D$9)), 0))), 2))</f>
        <v>235</v>
      </c>
      <c r="F134" s="61">
        <f t="shared" ca="1" si="3"/>
        <v>1696.63</v>
      </c>
      <c r="G134" s="19" t="str">
        <f t="shared" ca="1" si="2"/>
        <v>Active</v>
      </c>
      <c r="H134" s="19"/>
    </row>
    <row r="135" spans="1:8" ht="18" customHeight="1" x14ac:dyDescent="0.35">
      <c r="A135" s="47"/>
      <c r="B135" s="8" t="str">
        <v>Travel Card</v>
      </c>
      <c r="C135" s="61">
        <f ca="1"/>
        <v>5878.32</v>
      </c>
      <c r="D135" s="61">
        <f ca="1">IF(B135="","", ROUND(C135 * (VLOOKUP(B135, '💳 Debt Input'!$A$4:$G$9, 3, FALSE) / 12), 2))</f>
        <v>88.17</v>
      </c>
      <c r="E135" s="61" cm="1">
        <f t="array" aca="1" ref="E135" ca="1">IF(B135="","", ROUND(MIN(C135+D135, MAX(VLOOKUP(B135,'💳 Debt Input'!$A$4:$G$9,4,FALSE), $F$3 - IFERROR(SUM(OFFSET(E135, -MOD(ROW()-6, 6), 0, MOD(ROW()-6, 6))), 0) - IFERROR(SUM(SUMIF('💳 Debt Input'!$A$4:$A$9, OFFSET(B135, 1, 0, 5-MOD(ROW()-6, 6)), '💳 Debt Input'!$D$4:$D$9)), 0))), 2))</f>
        <v>270</v>
      </c>
      <c r="F135" s="61">
        <f t="shared" ca="1" si="3"/>
        <v>5696.49</v>
      </c>
      <c r="G135" s="19" t="str">
        <f t="shared" ca="1" si="2"/>
        <v>Active</v>
      </c>
      <c r="H135" s="19"/>
    </row>
    <row r="136" spans="1:8" ht="18" customHeight="1" x14ac:dyDescent="0.35">
      <c r="A136" s="47"/>
      <c r="B136" s="8" t="str">
        <v>Rewards Visa</v>
      </c>
      <c r="C136" s="61">
        <f ca="1"/>
        <v>16000</v>
      </c>
      <c r="D136" s="61">
        <f ca="1">IF(B136="","", ROUND(C136 * (VLOOKUP(B136, '💳 Debt Input'!$A$4:$G$9, 3, FALSE) / 12), 2))</f>
        <v>480</v>
      </c>
      <c r="E136" s="61" cm="1">
        <f t="array" aca="1" ref="E136" ca="1">IF(B136="","", ROUND(MIN(C136+D136, MAX(VLOOKUP(B136,'💳 Debt Input'!$A$4:$G$9,4,FALSE), $F$3 - IFERROR(SUM(OFFSET(E136, -MOD(ROW()-6, 6), 0, MOD(ROW()-6, 6))), 0) - IFERROR(SUM(SUMIF('💳 Debt Input'!$A$4:$A$9, OFFSET(B136, 1, 0, 5-MOD(ROW()-6, 6)), '💳 Debt Input'!$D$4:$D$9)), 0))), 2))</f>
        <v>480</v>
      </c>
      <c r="F136" s="61">
        <f t="shared" ca="1" si="3"/>
        <v>16000</v>
      </c>
      <c r="G136" s="19" t="str">
        <f t="shared" ca="1" si="2"/>
        <v>Active</v>
      </c>
      <c r="H136" s="19"/>
    </row>
    <row r="137" spans="1:8" ht="18" customHeight="1" x14ac:dyDescent="0.35">
      <c r="A137" s="51">
        <v>22</v>
      </c>
      <c r="B137" s="56" t="str" cm="1">
        <f t="array" ref="B137:B142">B131:B136</f>
        <v>Store Card</v>
      </c>
      <c r="C137" s="65" cm="1">
        <f t="array" aca="1" ref="C137:C142" ca="1">F131:F136</f>
        <v>0</v>
      </c>
      <c r="D137" s="65">
        <f ca="1">IF(B137="","", ROUND(C137 * (VLOOKUP(B137, '💳 Debt Input'!$A$4:$G$9, 3, FALSE) / 12), 2))</f>
        <v>0</v>
      </c>
      <c r="E137" s="65" cm="1">
        <f t="array" aca="1" ref="E137" ca="1">IF(B137="","", ROUND(MIN(C137+D137, MAX(VLOOKUP(B137,'💳 Debt Input'!$A$4:$G$9,4,FALSE), $F$3 - IFERROR(SUM(OFFSET(E137, -MOD(ROW()-6, 6), 0, MOD(ROW()-6, 6))), 0) - IFERROR(SUM(SUMIF('💳 Debt Input'!$A$4:$A$9, OFFSET(B137, 1, 0, 5-MOD(ROW()-6, 6)), '💳 Debt Input'!$D$4:$D$9)), 0))), 2))</f>
        <v>0</v>
      </c>
      <c r="F137" s="65">
        <f t="shared" ca="1" si="3"/>
        <v>0</v>
      </c>
      <c r="G137" s="25" t="str">
        <f t="shared" ca="1" si="2"/>
        <v>Paid off</v>
      </c>
      <c r="H137" s="25"/>
    </row>
    <row r="138" spans="1:8" ht="18" customHeight="1" x14ac:dyDescent="0.35">
      <c r="A138" s="52"/>
      <c r="B138" s="26" t="str">
        <v>Medical Bill</v>
      </c>
      <c r="C138" s="66">
        <f ca="1"/>
        <v>0</v>
      </c>
      <c r="D138" s="66">
        <f ca="1">IF(B138="","", ROUND(C138 * (VLOOKUP(B138, '💳 Debt Input'!$A$4:$G$9, 3, FALSE) / 12), 2))</f>
        <v>0</v>
      </c>
      <c r="E138" s="66" cm="1">
        <f t="array" aca="1" ref="E138" ca="1">IF(B138="","", ROUND(MIN(C138+D138, MAX(VLOOKUP(B138,'💳 Debt Input'!$A$4:$G$9,4,FALSE), $F$3 - IFERROR(SUM(OFFSET(E138, -MOD(ROW()-6, 6), 0, MOD(ROW()-6, 6))), 0) - IFERROR(SUM(SUMIF('💳 Debt Input'!$A$4:$A$9, OFFSET(B138, 1, 0, 5-MOD(ROW()-6, 6)), '💳 Debt Input'!$D$4:$D$9)), 0))), 2))</f>
        <v>0</v>
      </c>
      <c r="F138" s="66">
        <f t="shared" ca="1" si="3"/>
        <v>0</v>
      </c>
      <c r="G138" s="28" t="str">
        <f t="shared" ca="1" si="2"/>
        <v>Paid off</v>
      </c>
      <c r="H138" s="28"/>
    </row>
    <row r="139" spans="1:8" ht="18" customHeight="1" x14ac:dyDescent="0.35">
      <c r="A139" s="49"/>
      <c r="B139" s="6" t="str">
        <v>Personal Loan</v>
      </c>
      <c r="C139" s="63">
        <f ca="1"/>
        <v>0</v>
      </c>
      <c r="D139" s="63">
        <f ca="1">IF(B139="","", ROUND(C139 * (VLOOKUP(B139, '💳 Debt Input'!$A$4:$G$9, 3, FALSE) / 12), 2))</f>
        <v>0</v>
      </c>
      <c r="E139" s="63" cm="1">
        <f t="array" aca="1" ref="E139" ca="1">IF(B139="","", ROUND(MIN(C139+D139, MAX(VLOOKUP(B139,'💳 Debt Input'!$A$4:$G$9,4,FALSE), $F$3 - IFERROR(SUM(OFFSET(E139, -MOD(ROW()-6, 6), 0, MOD(ROW()-6, 6))), 0) - IFERROR(SUM(SUMIF('💳 Debt Input'!$A$4:$A$9, OFFSET(B139, 1, 0, 5-MOD(ROW()-6, 6)), '💳 Debt Input'!$D$4:$D$9)), 0))), 2))</f>
        <v>0</v>
      </c>
      <c r="F139" s="63">
        <f t="shared" ca="1" si="3"/>
        <v>0</v>
      </c>
      <c r="G139" s="22" t="str">
        <f t="shared" ref="G139:G202" ca="1" si="4">IF(F139=0,"Paid off","Active")</f>
        <v>Paid off</v>
      </c>
      <c r="H139" s="22"/>
    </row>
    <row r="140" spans="1:8" ht="18" customHeight="1" x14ac:dyDescent="0.35">
      <c r="A140" s="49"/>
      <c r="B140" s="6" t="str">
        <v>Auto Loan</v>
      </c>
      <c r="C140" s="63">
        <f ca="1"/>
        <v>1696.63</v>
      </c>
      <c r="D140" s="63">
        <f ca="1">IF(B140="","", ROUND(C140 * (VLOOKUP(B140, '💳 Debt Input'!$A$4:$G$9, 3, FALSE) / 12), 2))</f>
        <v>14.14</v>
      </c>
      <c r="E140" s="63" cm="1">
        <f t="array" aca="1" ref="E140" ca="1">IF(B140="","", ROUND(MIN(C140+D140, MAX(VLOOKUP(B140,'💳 Debt Input'!$A$4:$G$9,4,FALSE), $F$3 - IFERROR(SUM(OFFSET(E140, -MOD(ROW()-6, 6), 0, MOD(ROW()-6, 6))), 0) - IFERROR(SUM(SUMIF('💳 Debt Input'!$A$4:$A$9, OFFSET(B140, 1, 0, 5-MOD(ROW()-6, 6)), '💳 Debt Input'!$D$4:$D$9)), 0))), 2))</f>
        <v>235</v>
      </c>
      <c r="F140" s="63">
        <f t="shared" ref="F140:F203" ca="1" si="5">ROUND(MAX(0,C140+D140-E140),2)</f>
        <v>1475.77</v>
      </c>
      <c r="G140" s="22" t="str">
        <f t="shared" ca="1" si="4"/>
        <v>Active</v>
      </c>
      <c r="H140" s="22"/>
    </row>
    <row r="141" spans="1:8" ht="18" customHeight="1" x14ac:dyDescent="0.35">
      <c r="A141" s="49"/>
      <c r="B141" s="6" t="str">
        <v>Travel Card</v>
      </c>
      <c r="C141" s="63">
        <f ca="1"/>
        <v>5696.49</v>
      </c>
      <c r="D141" s="63">
        <f ca="1">IF(B141="","", ROUND(C141 * (VLOOKUP(B141, '💳 Debt Input'!$A$4:$G$9, 3, FALSE) / 12), 2))</f>
        <v>85.45</v>
      </c>
      <c r="E141" s="63" cm="1">
        <f t="array" aca="1" ref="E141" ca="1">IF(B141="","", ROUND(MIN(C141+D141, MAX(VLOOKUP(B141,'💳 Debt Input'!$A$4:$G$9,4,FALSE), $F$3 - IFERROR(SUM(OFFSET(E141, -MOD(ROW()-6, 6), 0, MOD(ROW()-6, 6))), 0) - IFERROR(SUM(SUMIF('💳 Debt Input'!$A$4:$A$9, OFFSET(B141, 1, 0, 5-MOD(ROW()-6, 6)), '💳 Debt Input'!$D$4:$D$9)), 0))), 2))</f>
        <v>270</v>
      </c>
      <c r="F141" s="63">
        <f t="shared" ca="1" si="5"/>
        <v>5511.94</v>
      </c>
      <c r="G141" s="22" t="str">
        <f t="shared" ca="1" si="4"/>
        <v>Active</v>
      </c>
      <c r="H141" s="22"/>
    </row>
    <row r="142" spans="1:8" ht="18" customHeight="1" x14ac:dyDescent="0.35">
      <c r="A142" s="49"/>
      <c r="B142" s="6" t="str">
        <v>Rewards Visa</v>
      </c>
      <c r="C142" s="63">
        <f ca="1"/>
        <v>16000</v>
      </c>
      <c r="D142" s="63">
        <f ca="1">IF(B142="","", ROUND(C142 * (VLOOKUP(B142, '💳 Debt Input'!$A$4:$G$9, 3, FALSE) / 12), 2))</f>
        <v>480</v>
      </c>
      <c r="E142" s="63" cm="1">
        <f t="array" aca="1" ref="E142" ca="1">IF(B142="","", ROUND(MIN(C142+D142, MAX(VLOOKUP(B142,'💳 Debt Input'!$A$4:$G$9,4,FALSE), $F$3 - IFERROR(SUM(OFFSET(E142, -MOD(ROW()-6, 6), 0, MOD(ROW()-6, 6))), 0) - IFERROR(SUM(SUMIF('💳 Debt Input'!$A$4:$A$9, OFFSET(B142, 1, 0, 5-MOD(ROW()-6, 6)), '💳 Debt Input'!$D$4:$D$9)), 0))), 2))</f>
        <v>480</v>
      </c>
      <c r="F142" s="63">
        <f t="shared" ca="1" si="5"/>
        <v>16000</v>
      </c>
      <c r="G142" s="22" t="str">
        <f t="shared" ca="1" si="4"/>
        <v>Active</v>
      </c>
      <c r="H142" s="22"/>
    </row>
    <row r="143" spans="1:8" ht="18" customHeight="1" x14ac:dyDescent="0.35">
      <c r="A143" s="51">
        <v>23</v>
      </c>
      <c r="B143" s="56" t="str" cm="1">
        <f t="array" ref="B143:B148">B137:B142</f>
        <v>Store Card</v>
      </c>
      <c r="C143" s="65" cm="1">
        <f t="array" aca="1" ref="C143:C148" ca="1">F137:F142</f>
        <v>0</v>
      </c>
      <c r="D143" s="65">
        <f ca="1">IF(B143="","", ROUND(C143 * (VLOOKUP(B143, '💳 Debt Input'!$A$4:$G$9, 3, FALSE) / 12), 2))</f>
        <v>0</v>
      </c>
      <c r="E143" s="65" cm="1">
        <f t="array" aca="1" ref="E143" ca="1">IF(B143="","", ROUND(MIN(C143+D143, MAX(VLOOKUP(B143,'💳 Debt Input'!$A$4:$G$9,4,FALSE), $F$3 - IFERROR(SUM(OFFSET(E143, -MOD(ROW()-6, 6), 0, MOD(ROW()-6, 6))), 0) - IFERROR(SUM(SUMIF('💳 Debt Input'!$A$4:$A$9, OFFSET(B143, 1, 0, 5-MOD(ROW()-6, 6)), '💳 Debt Input'!$D$4:$D$9)), 0))), 2))</f>
        <v>0</v>
      </c>
      <c r="F143" s="65">
        <f t="shared" ca="1" si="5"/>
        <v>0</v>
      </c>
      <c r="G143" s="25" t="str">
        <f t="shared" ca="1" si="4"/>
        <v>Paid off</v>
      </c>
      <c r="H143" s="25"/>
    </row>
    <row r="144" spans="1:8" ht="18" customHeight="1" x14ac:dyDescent="0.35">
      <c r="A144" s="52"/>
      <c r="B144" s="26" t="str">
        <v>Medical Bill</v>
      </c>
      <c r="C144" s="66">
        <f ca="1"/>
        <v>0</v>
      </c>
      <c r="D144" s="66">
        <f ca="1">IF(B144="","", ROUND(C144 * (VLOOKUP(B144, '💳 Debt Input'!$A$4:$G$9, 3, FALSE) / 12), 2))</f>
        <v>0</v>
      </c>
      <c r="E144" s="66" cm="1">
        <f t="array" aca="1" ref="E144" ca="1">IF(B144="","", ROUND(MIN(C144+D144, MAX(VLOOKUP(B144,'💳 Debt Input'!$A$4:$G$9,4,FALSE), $F$3 - IFERROR(SUM(OFFSET(E144, -MOD(ROW()-6, 6), 0, MOD(ROW()-6, 6))), 0) - IFERROR(SUM(SUMIF('💳 Debt Input'!$A$4:$A$9, OFFSET(B144, 1, 0, 5-MOD(ROW()-6, 6)), '💳 Debt Input'!$D$4:$D$9)), 0))), 2))</f>
        <v>0</v>
      </c>
      <c r="F144" s="66">
        <f t="shared" ca="1" si="5"/>
        <v>0</v>
      </c>
      <c r="G144" s="28" t="str">
        <f t="shared" ca="1" si="4"/>
        <v>Paid off</v>
      </c>
      <c r="H144" s="28"/>
    </row>
    <row r="145" spans="1:8" ht="18" customHeight="1" x14ac:dyDescent="0.35">
      <c r="A145" s="47"/>
      <c r="B145" s="8" t="str">
        <v>Personal Loan</v>
      </c>
      <c r="C145" s="61">
        <f ca="1"/>
        <v>0</v>
      </c>
      <c r="D145" s="61">
        <f ca="1">IF(B145="","", ROUND(C145 * (VLOOKUP(B145, '💳 Debt Input'!$A$4:$G$9, 3, FALSE) / 12), 2))</f>
        <v>0</v>
      </c>
      <c r="E145" s="61" cm="1">
        <f t="array" aca="1" ref="E145" ca="1">IF(B145="","", ROUND(MIN(C145+D145, MAX(VLOOKUP(B145,'💳 Debt Input'!$A$4:$G$9,4,FALSE), $F$3 - IFERROR(SUM(OFFSET(E145, -MOD(ROW()-6, 6), 0, MOD(ROW()-6, 6))), 0) - IFERROR(SUM(SUMIF('💳 Debt Input'!$A$4:$A$9, OFFSET(B145, 1, 0, 5-MOD(ROW()-6, 6)), '💳 Debt Input'!$D$4:$D$9)), 0))), 2))</f>
        <v>0</v>
      </c>
      <c r="F145" s="61">
        <f t="shared" ca="1" si="5"/>
        <v>0</v>
      </c>
      <c r="G145" s="19" t="str">
        <f t="shared" ca="1" si="4"/>
        <v>Paid off</v>
      </c>
      <c r="H145" s="19"/>
    </row>
    <row r="146" spans="1:8" ht="18" customHeight="1" x14ac:dyDescent="0.35">
      <c r="A146" s="47"/>
      <c r="B146" s="8" t="str">
        <v>Auto Loan</v>
      </c>
      <c r="C146" s="61">
        <f ca="1"/>
        <v>1475.77</v>
      </c>
      <c r="D146" s="61">
        <f ca="1">IF(B146="","", ROUND(C146 * (VLOOKUP(B146, '💳 Debt Input'!$A$4:$G$9, 3, FALSE) / 12), 2))</f>
        <v>12.3</v>
      </c>
      <c r="E146" s="61" cm="1">
        <f t="array" aca="1" ref="E146" ca="1">IF(B146="","", ROUND(MIN(C146+D146, MAX(VLOOKUP(B146,'💳 Debt Input'!$A$4:$G$9,4,FALSE), $F$3 - IFERROR(SUM(OFFSET(E146, -MOD(ROW()-6, 6), 0, MOD(ROW()-6, 6))), 0) - IFERROR(SUM(SUMIF('💳 Debt Input'!$A$4:$A$9, OFFSET(B146, 1, 0, 5-MOD(ROW()-6, 6)), '💳 Debt Input'!$D$4:$D$9)), 0))), 2))</f>
        <v>235</v>
      </c>
      <c r="F146" s="61">
        <f t="shared" ca="1" si="5"/>
        <v>1253.07</v>
      </c>
      <c r="G146" s="19" t="str">
        <f t="shared" ca="1" si="4"/>
        <v>Active</v>
      </c>
      <c r="H146" s="19"/>
    </row>
    <row r="147" spans="1:8" ht="18" customHeight="1" x14ac:dyDescent="0.35">
      <c r="A147" s="47"/>
      <c r="B147" s="8" t="str">
        <v>Travel Card</v>
      </c>
      <c r="C147" s="61">
        <f ca="1"/>
        <v>5511.94</v>
      </c>
      <c r="D147" s="61">
        <f ca="1">IF(B147="","", ROUND(C147 * (VLOOKUP(B147, '💳 Debt Input'!$A$4:$G$9, 3, FALSE) / 12), 2))</f>
        <v>82.68</v>
      </c>
      <c r="E147" s="61" cm="1">
        <f t="array" aca="1" ref="E147" ca="1">IF(B147="","", ROUND(MIN(C147+D147, MAX(VLOOKUP(B147,'💳 Debt Input'!$A$4:$G$9,4,FALSE), $F$3 - IFERROR(SUM(OFFSET(E147, -MOD(ROW()-6, 6), 0, MOD(ROW()-6, 6))), 0) - IFERROR(SUM(SUMIF('💳 Debt Input'!$A$4:$A$9, OFFSET(B147, 1, 0, 5-MOD(ROW()-6, 6)), '💳 Debt Input'!$D$4:$D$9)), 0))), 2))</f>
        <v>270</v>
      </c>
      <c r="F147" s="61">
        <f t="shared" ca="1" si="5"/>
        <v>5324.62</v>
      </c>
      <c r="G147" s="19" t="str">
        <f t="shared" ca="1" si="4"/>
        <v>Active</v>
      </c>
      <c r="H147" s="19"/>
    </row>
    <row r="148" spans="1:8" ht="18" customHeight="1" x14ac:dyDescent="0.35">
      <c r="A148" s="47"/>
      <c r="B148" s="8" t="str">
        <v>Rewards Visa</v>
      </c>
      <c r="C148" s="61">
        <f ca="1"/>
        <v>16000</v>
      </c>
      <c r="D148" s="61">
        <f ca="1">IF(B148="","", ROUND(C148 * (VLOOKUP(B148, '💳 Debt Input'!$A$4:$G$9, 3, FALSE) / 12), 2))</f>
        <v>480</v>
      </c>
      <c r="E148" s="61" cm="1">
        <f t="array" aca="1" ref="E148" ca="1">IF(B148="","", ROUND(MIN(C148+D148, MAX(VLOOKUP(B148,'💳 Debt Input'!$A$4:$G$9,4,FALSE), $F$3 - IFERROR(SUM(OFFSET(E148, -MOD(ROW()-6, 6), 0, MOD(ROW()-6, 6))), 0) - IFERROR(SUM(SUMIF('💳 Debt Input'!$A$4:$A$9, OFFSET(B148, 1, 0, 5-MOD(ROW()-6, 6)), '💳 Debt Input'!$D$4:$D$9)), 0))), 2))</f>
        <v>480</v>
      </c>
      <c r="F148" s="61">
        <f t="shared" ca="1" si="5"/>
        <v>16000</v>
      </c>
      <c r="G148" s="19" t="str">
        <f t="shared" ca="1" si="4"/>
        <v>Active</v>
      </c>
      <c r="H148" s="19"/>
    </row>
    <row r="149" spans="1:8" ht="18" customHeight="1" x14ac:dyDescent="0.35">
      <c r="A149" s="51">
        <v>24</v>
      </c>
      <c r="B149" s="56" t="str" cm="1">
        <f t="array" ref="B149:B154">B143:B148</f>
        <v>Store Card</v>
      </c>
      <c r="C149" s="65" cm="1">
        <f t="array" aca="1" ref="C149:C154" ca="1">F143:F148</f>
        <v>0</v>
      </c>
      <c r="D149" s="65">
        <f ca="1">IF(B149="","", ROUND(C149 * (VLOOKUP(B149, '💳 Debt Input'!$A$4:$G$9, 3, FALSE) / 12), 2))</f>
        <v>0</v>
      </c>
      <c r="E149" s="65" cm="1">
        <f t="array" aca="1" ref="E149" ca="1">IF(B149="","", ROUND(MIN(C149+D149, MAX(VLOOKUP(B149,'💳 Debt Input'!$A$4:$G$9,4,FALSE), $F$3 - IFERROR(SUM(OFFSET(E149, -MOD(ROW()-6, 6), 0, MOD(ROW()-6, 6))), 0) - IFERROR(SUM(SUMIF('💳 Debt Input'!$A$4:$A$9, OFFSET(B149, 1, 0, 5-MOD(ROW()-6, 6)), '💳 Debt Input'!$D$4:$D$9)), 0))), 2))</f>
        <v>0</v>
      </c>
      <c r="F149" s="65">
        <f t="shared" ca="1" si="5"/>
        <v>0</v>
      </c>
      <c r="G149" s="25" t="str">
        <f t="shared" ca="1" si="4"/>
        <v>Paid off</v>
      </c>
      <c r="H149" s="25"/>
    </row>
    <row r="150" spans="1:8" ht="18" customHeight="1" x14ac:dyDescent="0.35">
      <c r="A150" s="52"/>
      <c r="B150" s="26" t="str">
        <v>Medical Bill</v>
      </c>
      <c r="C150" s="66">
        <f ca="1"/>
        <v>0</v>
      </c>
      <c r="D150" s="66">
        <f ca="1">IF(B150="","", ROUND(C150 * (VLOOKUP(B150, '💳 Debt Input'!$A$4:$G$9, 3, FALSE) / 12), 2))</f>
        <v>0</v>
      </c>
      <c r="E150" s="66" cm="1">
        <f t="array" aca="1" ref="E150" ca="1">IF(B150="","", ROUND(MIN(C150+D150, MAX(VLOOKUP(B150,'💳 Debt Input'!$A$4:$G$9,4,FALSE), $F$3 - IFERROR(SUM(OFFSET(E150, -MOD(ROW()-6, 6), 0, MOD(ROW()-6, 6))), 0) - IFERROR(SUM(SUMIF('💳 Debt Input'!$A$4:$A$9, OFFSET(B150, 1, 0, 5-MOD(ROW()-6, 6)), '💳 Debt Input'!$D$4:$D$9)), 0))), 2))</f>
        <v>0</v>
      </c>
      <c r="F150" s="66">
        <f t="shared" ca="1" si="5"/>
        <v>0</v>
      </c>
      <c r="G150" s="28" t="str">
        <f t="shared" ca="1" si="4"/>
        <v>Paid off</v>
      </c>
      <c r="H150" s="28"/>
    </row>
    <row r="151" spans="1:8" ht="18" customHeight="1" x14ac:dyDescent="0.35">
      <c r="A151" s="49"/>
      <c r="B151" s="6" t="str">
        <v>Personal Loan</v>
      </c>
      <c r="C151" s="63">
        <f ca="1"/>
        <v>0</v>
      </c>
      <c r="D151" s="63">
        <f ca="1">IF(B151="","", ROUND(C151 * (VLOOKUP(B151, '💳 Debt Input'!$A$4:$G$9, 3, FALSE) / 12), 2))</f>
        <v>0</v>
      </c>
      <c r="E151" s="63" cm="1">
        <f t="array" aca="1" ref="E151" ca="1">IF(B151="","", ROUND(MIN(C151+D151, MAX(VLOOKUP(B151,'💳 Debt Input'!$A$4:$G$9,4,FALSE), $F$3 - IFERROR(SUM(OFFSET(E151, -MOD(ROW()-6, 6), 0, MOD(ROW()-6, 6))), 0) - IFERROR(SUM(SUMIF('💳 Debt Input'!$A$4:$A$9, OFFSET(B151, 1, 0, 5-MOD(ROW()-6, 6)), '💳 Debt Input'!$D$4:$D$9)), 0))), 2))</f>
        <v>0</v>
      </c>
      <c r="F151" s="63">
        <f t="shared" ca="1" si="5"/>
        <v>0</v>
      </c>
      <c r="G151" s="22" t="str">
        <f t="shared" ca="1" si="4"/>
        <v>Paid off</v>
      </c>
      <c r="H151" s="22"/>
    </row>
    <row r="152" spans="1:8" ht="18" customHeight="1" x14ac:dyDescent="0.35">
      <c r="A152" s="49"/>
      <c r="B152" s="6" t="str">
        <v>Auto Loan</v>
      </c>
      <c r="C152" s="63">
        <f ca="1"/>
        <v>1253.07</v>
      </c>
      <c r="D152" s="63">
        <f ca="1">IF(B152="","", ROUND(C152 * (VLOOKUP(B152, '💳 Debt Input'!$A$4:$G$9, 3, FALSE) / 12), 2))</f>
        <v>10.44</v>
      </c>
      <c r="E152" s="63" cm="1">
        <f t="array" aca="1" ref="E152" ca="1">IF(B152="","", ROUND(MIN(C152+D152, MAX(VLOOKUP(B152,'💳 Debt Input'!$A$4:$G$9,4,FALSE), $F$3 - IFERROR(SUM(OFFSET(E152, -MOD(ROW()-6, 6), 0, MOD(ROW()-6, 6))), 0) - IFERROR(SUM(SUMIF('💳 Debt Input'!$A$4:$A$9, OFFSET(B152, 1, 0, 5-MOD(ROW()-6, 6)), '💳 Debt Input'!$D$4:$D$9)), 0))), 2))</f>
        <v>235</v>
      </c>
      <c r="F152" s="63">
        <f t="shared" ca="1" si="5"/>
        <v>1028.51</v>
      </c>
      <c r="G152" s="22" t="str">
        <f t="shared" ca="1" si="4"/>
        <v>Active</v>
      </c>
      <c r="H152" s="22"/>
    </row>
    <row r="153" spans="1:8" ht="18" customHeight="1" x14ac:dyDescent="0.35">
      <c r="A153" s="49"/>
      <c r="B153" s="6" t="str">
        <v>Travel Card</v>
      </c>
      <c r="C153" s="63">
        <f ca="1"/>
        <v>5324.62</v>
      </c>
      <c r="D153" s="63">
        <f ca="1">IF(B153="","", ROUND(C153 * (VLOOKUP(B153, '💳 Debt Input'!$A$4:$G$9, 3, FALSE) / 12), 2))</f>
        <v>79.87</v>
      </c>
      <c r="E153" s="63" cm="1">
        <f t="array" aca="1" ref="E153" ca="1">IF(B153="","", ROUND(MIN(C153+D153, MAX(VLOOKUP(B153,'💳 Debt Input'!$A$4:$G$9,4,FALSE), $F$3 - IFERROR(SUM(OFFSET(E153, -MOD(ROW()-6, 6), 0, MOD(ROW()-6, 6))), 0) - IFERROR(SUM(SUMIF('💳 Debt Input'!$A$4:$A$9, OFFSET(B153, 1, 0, 5-MOD(ROW()-6, 6)), '💳 Debt Input'!$D$4:$D$9)), 0))), 2))</f>
        <v>270</v>
      </c>
      <c r="F153" s="63">
        <f t="shared" ca="1" si="5"/>
        <v>5134.49</v>
      </c>
      <c r="G153" s="22" t="str">
        <f t="shared" ca="1" si="4"/>
        <v>Active</v>
      </c>
      <c r="H153" s="22"/>
    </row>
    <row r="154" spans="1:8" ht="18" customHeight="1" x14ac:dyDescent="0.35">
      <c r="A154" s="49"/>
      <c r="B154" s="6" t="str">
        <v>Rewards Visa</v>
      </c>
      <c r="C154" s="63">
        <f ca="1"/>
        <v>16000</v>
      </c>
      <c r="D154" s="63">
        <f ca="1">IF(B154="","", ROUND(C154 * (VLOOKUP(B154, '💳 Debt Input'!$A$4:$G$9, 3, FALSE) / 12), 2))</f>
        <v>480</v>
      </c>
      <c r="E154" s="63" cm="1">
        <f t="array" aca="1" ref="E154" ca="1">IF(B154="","", ROUND(MIN(C154+D154, MAX(VLOOKUP(B154,'💳 Debt Input'!$A$4:$G$9,4,FALSE), $F$3 - IFERROR(SUM(OFFSET(E154, -MOD(ROW()-6, 6), 0, MOD(ROW()-6, 6))), 0) - IFERROR(SUM(SUMIF('💳 Debt Input'!$A$4:$A$9, OFFSET(B154, 1, 0, 5-MOD(ROW()-6, 6)), '💳 Debt Input'!$D$4:$D$9)), 0))), 2))</f>
        <v>480</v>
      </c>
      <c r="F154" s="63">
        <f t="shared" ca="1" si="5"/>
        <v>16000</v>
      </c>
      <c r="G154" s="22" t="str">
        <f t="shared" ca="1" si="4"/>
        <v>Active</v>
      </c>
      <c r="H154" s="22"/>
    </row>
    <row r="155" spans="1:8" ht="18" customHeight="1" x14ac:dyDescent="0.35">
      <c r="A155" s="51">
        <v>25</v>
      </c>
      <c r="B155" s="56" t="str" cm="1">
        <f t="array" ref="B155:B160">B149:B154</f>
        <v>Store Card</v>
      </c>
      <c r="C155" s="65" cm="1">
        <f t="array" aca="1" ref="C155:C160" ca="1">F149:F154</f>
        <v>0</v>
      </c>
      <c r="D155" s="65">
        <f ca="1">IF(B155="","", ROUND(C155 * (VLOOKUP(B155, '💳 Debt Input'!$A$4:$G$9, 3, FALSE) / 12), 2))</f>
        <v>0</v>
      </c>
      <c r="E155" s="65" cm="1">
        <f t="array" aca="1" ref="E155" ca="1">IF(B155="","", ROUND(MIN(C155+D155, MAX(VLOOKUP(B155,'💳 Debt Input'!$A$4:$G$9,4,FALSE), $F$3 - IFERROR(SUM(OFFSET(E155, -MOD(ROW()-6, 6), 0, MOD(ROW()-6, 6))), 0) - IFERROR(SUM(SUMIF('💳 Debt Input'!$A$4:$A$9, OFFSET(B155, 1, 0, 5-MOD(ROW()-6, 6)), '💳 Debt Input'!$D$4:$D$9)), 0))), 2))</f>
        <v>0</v>
      </c>
      <c r="F155" s="65">
        <f t="shared" ca="1" si="5"/>
        <v>0</v>
      </c>
      <c r="G155" s="25" t="str">
        <f t="shared" ca="1" si="4"/>
        <v>Paid off</v>
      </c>
      <c r="H155" s="25"/>
    </row>
    <row r="156" spans="1:8" ht="18" customHeight="1" x14ac:dyDescent="0.35">
      <c r="A156" s="52"/>
      <c r="B156" s="26" t="str">
        <v>Medical Bill</v>
      </c>
      <c r="C156" s="66">
        <f ca="1"/>
        <v>0</v>
      </c>
      <c r="D156" s="66">
        <f ca="1">IF(B156="","", ROUND(C156 * (VLOOKUP(B156, '💳 Debt Input'!$A$4:$G$9, 3, FALSE) / 12), 2))</f>
        <v>0</v>
      </c>
      <c r="E156" s="66" cm="1">
        <f t="array" aca="1" ref="E156" ca="1">IF(B156="","", ROUND(MIN(C156+D156, MAX(VLOOKUP(B156,'💳 Debt Input'!$A$4:$G$9,4,FALSE), $F$3 - IFERROR(SUM(OFFSET(E156, -MOD(ROW()-6, 6), 0, MOD(ROW()-6, 6))), 0) - IFERROR(SUM(SUMIF('💳 Debt Input'!$A$4:$A$9, OFFSET(B156, 1, 0, 5-MOD(ROW()-6, 6)), '💳 Debt Input'!$D$4:$D$9)), 0))), 2))</f>
        <v>0</v>
      </c>
      <c r="F156" s="66">
        <f t="shared" ca="1" si="5"/>
        <v>0</v>
      </c>
      <c r="G156" s="28" t="str">
        <f t="shared" ca="1" si="4"/>
        <v>Paid off</v>
      </c>
      <c r="H156" s="28"/>
    </row>
    <row r="157" spans="1:8" ht="18" customHeight="1" x14ac:dyDescent="0.35">
      <c r="A157" s="47"/>
      <c r="B157" s="8" t="str">
        <v>Personal Loan</v>
      </c>
      <c r="C157" s="61">
        <f ca="1"/>
        <v>0</v>
      </c>
      <c r="D157" s="61">
        <f ca="1">IF(B157="","", ROUND(C157 * (VLOOKUP(B157, '💳 Debt Input'!$A$4:$G$9, 3, FALSE) / 12), 2))</f>
        <v>0</v>
      </c>
      <c r="E157" s="61" cm="1">
        <f t="array" aca="1" ref="E157" ca="1">IF(B157="","", ROUND(MIN(C157+D157, MAX(VLOOKUP(B157,'💳 Debt Input'!$A$4:$G$9,4,FALSE), $F$3 - IFERROR(SUM(OFFSET(E157, -MOD(ROW()-6, 6), 0, MOD(ROW()-6, 6))), 0) - IFERROR(SUM(SUMIF('💳 Debt Input'!$A$4:$A$9, OFFSET(B157, 1, 0, 5-MOD(ROW()-6, 6)), '💳 Debt Input'!$D$4:$D$9)), 0))), 2))</f>
        <v>0</v>
      </c>
      <c r="F157" s="61">
        <f t="shared" ca="1" si="5"/>
        <v>0</v>
      </c>
      <c r="G157" s="19" t="str">
        <f t="shared" ca="1" si="4"/>
        <v>Paid off</v>
      </c>
      <c r="H157" s="19"/>
    </row>
    <row r="158" spans="1:8" ht="18" customHeight="1" x14ac:dyDescent="0.35">
      <c r="A158" s="47"/>
      <c r="B158" s="8" t="str">
        <v>Auto Loan</v>
      </c>
      <c r="C158" s="61">
        <f ca="1"/>
        <v>1028.51</v>
      </c>
      <c r="D158" s="61">
        <f ca="1">IF(B158="","", ROUND(C158 * (VLOOKUP(B158, '💳 Debt Input'!$A$4:$G$9, 3, FALSE) / 12), 2))</f>
        <v>8.57</v>
      </c>
      <c r="E158" s="61" cm="1">
        <f t="array" aca="1" ref="E158" ca="1">IF(B158="","", ROUND(MIN(C158+D158, MAX(VLOOKUP(B158,'💳 Debt Input'!$A$4:$G$9,4,FALSE), $F$3 - IFERROR(SUM(OFFSET(E158, -MOD(ROW()-6, 6), 0, MOD(ROW()-6, 6))), 0) - IFERROR(SUM(SUMIF('💳 Debt Input'!$A$4:$A$9, OFFSET(B158, 1, 0, 5-MOD(ROW()-6, 6)), '💳 Debt Input'!$D$4:$D$9)), 0))), 2))</f>
        <v>235</v>
      </c>
      <c r="F158" s="61">
        <f t="shared" ca="1" si="5"/>
        <v>802.08</v>
      </c>
      <c r="G158" s="19" t="str">
        <f t="shared" ca="1" si="4"/>
        <v>Active</v>
      </c>
      <c r="H158" s="19"/>
    </row>
    <row r="159" spans="1:8" ht="18" customHeight="1" x14ac:dyDescent="0.35">
      <c r="A159" s="47"/>
      <c r="B159" s="8" t="str">
        <v>Travel Card</v>
      </c>
      <c r="C159" s="61">
        <f ca="1"/>
        <v>5134.49</v>
      </c>
      <c r="D159" s="61">
        <f ca="1">IF(B159="","", ROUND(C159 * (VLOOKUP(B159, '💳 Debt Input'!$A$4:$G$9, 3, FALSE) / 12), 2))</f>
        <v>77.02</v>
      </c>
      <c r="E159" s="61" cm="1">
        <f t="array" aca="1" ref="E159" ca="1">IF(B159="","", ROUND(MIN(C159+D159, MAX(VLOOKUP(B159,'💳 Debt Input'!$A$4:$G$9,4,FALSE), $F$3 - IFERROR(SUM(OFFSET(E159, -MOD(ROW()-6, 6), 0, MOD(ROW()-6, 6))), 0) - IFERROR(SUM(SUMIF('💳 Debt Input'!$A$4:$A$9, OFFSET(B159, 1, 0, 5-MOD(ROW()-6, 6)), '💳 Debt Input'!$D$4:$D$9)), 0))), 2))</f>
        <v>270</v>
      </c>
      <c r="F159" s="61">
        <f t="shared" ca="1" si="5"/>
        <v>4941.51</v>
      </c>
      <c r="G159" s="19" t="str">
        <f t="shared" ca="1" si="4"/>
        <v>Active</v>
      </c>
      <c r="H159" s="19"/>
    </row>
    <row r="160" spans="1:8" ht="18" customHeight="1" x14ac:dyDescent="0.35">
      <c r="A160" s="47"/>
      <c r="B160" s="8" t="str">
        <v>Rewards Visa</v>
      </c>
      <c r="C160" s="61">
        <f ca="1"/>
        <v>16000</v>
      </c>
      <c r="D160" s="61">
        <f ca="1">IF(B160="","", ROUND(C160 * (VLOOKUP(B160, '💳 Debt Input'!$A$4:$G$9, 3, FALSE) / 12), 2))</f>
        <v>480</v>
      </c>
      <c r="E160" s="61" cm="1">
        <f t="array" aca="1" ref="E160" ca="1">IF(B160="","", ROUND(MIN(C160+D160, MAX(VLOOKUP(B160,'💳 Debt Input'!$A$4:$G$9,4,FALSE), $F$3 - IFERROR(SUM(OFFSET(E160, -MOD(ROW()-6, 6), 0, MOD(ROW()-6, 6))), 0) - IFERROR(SUM(SUMIF('💳 Debt Input'!$A$4:$A$9, OFFSET(B160, 1, 0, 5-MOD(ROW()-6, 6)), '💳 Debt Input'!$D$4:$D$9)), 0))), 2))</f>
        <v>480</v>
      </c>
      <c r="F160" s="61">
        <f t="shared" ca="1" si="5"/>
        <v>16000</v>
      </c>
      <c r="G160" s="19" t="str">
        <f t="shared" ca="1" si="4"/>
        <v>Active</v>
      </c>
      <c r="H160" s="19"/>
    </row>
    <row r="161" spans="1:8" ht="18" customHeight="1" x14ac:dyDescent="0.35">
      <c r="A161" s="51">
        <v>26</v>
      </c>
      <c r="B161" s="56" t="str" cm="1">
        <f t="array" ref="B161:B166">B155:B160</f>
        <v>Store Card</v>
      </c>
      <c r="C161" s="65" cm="1">
        <f t="array" aca="1" ref="C161:C166" ca="1">F155:F160</f>
        <v>0</v>
      </c>
      <c r="D161" s="65">
        <f ca="1">IF(B161="","", ROUND(C161 * (VLOOKUP(B161, '💳 Debt Input'!$A$4:$G$9, 3, FALSE) / 12), 2))</f>
        <v>0</v>
      </c>
      <c r="E161" s="65" cm="1">
        <f t="array" aca="1" ref="E161" ca="1">IF(B161="","", ROUND(MIN(C161+D161, MAX(VLOOKUP(B161,'💳 Debt Input'!$A$4:$G$9,4,FALSE), $F$3 - IFERROR(SUM(OFFSET(E161, -MOD(ROW()-6, 6), 0, MOD(ROW()-6, 6))), 0) - IFERROR(SUM(SUMIF('💳 Debt Input'!$A$4:$A$9, OFFSET(B161, 1, 0, 5-MOD(ROW()-6, 6)), '💳 Debt Input'!$D$4:$D$9)), 0))), 2))</f>
        <v>0</v>
      </c>
      <c r="F161" s="65">
        <f t="shared" ca="1" si="5"/>
        <v>0</v>
      </c>
      <c r="G161" s="25" t="str">
        <f t="shared" ca="1" si="4"/>
        <v>Paid off</v>
      </c>
      <c r="H161" s="25"/>
    </row>
    <row r="162" spans="1:8" ht="18" customHeight="1" x14ac:dyDescent="0.35">
      <c r="A162" s="52"/>
      <c r="B162" s="26" t="str">
        <v>Medical Bill</v>
      </c>
      <c r="C162" s="66">
        <f ca="1"/>
        <v>0</v>
      </c>
      <c r="D162" s="66">
        <f ca="1">IF(B162="","", ROUND(C162 * (VLOOKUP(B162, '💳 Debt Input'!$A$4:$G$9, 3, FALSE) / 12), 2))</f>
        <v>0</v>
      </c>
      <c r="E162" s="66" cm="1">
        <f t="array" aca="1" ref="E162" ca="1">IF(B162="","", ROUND(MIN(C162+D162, MAX(VLOOKUP(B162,'💳 Debt Input'!$A$4:$G$9,4,FALSE), $F$3 - IFERROR(SUM(OFFSET(E162, -MOD(ROW()-6, 6), 0, MOD(ROW()-6, 6))), 0) - IFERROR(SUM(SUMIF('💳 Debt Input'!$A$4:$A$9, OFFSET(B162, 1, 0, 5-MOD(ROW()-6, 6)), '💳 Debt Input'!$D$4:$D$9)), 0))), 2))</f>
        <v>0</v>
      </c>
      <c r="F162" s="66">
        <f t="shared" ca="1" si="5"/>
        <v>0</v>
      </c>
      <c r="G162" s="28" t="str">
        <f t="shared" ca="1" si="4"/>
        <v>Paid off</v>
      </c>
      <c r="H162" s="28"/>
    </row>
    <row r="163" spans="1:8" ht="18" customHeight="1" x14ac:dyDescent="0.35">
      <c r="A163" s="49"/>
      <c r="B163" s="6" t="str">
        <v>Personal Loan</v>
      </c>
      <c r="C163" s="63">
        <f ca="1"/>
        <v>0</v>
      </c>
      <c r="D163" s="63">
        <f ca="1">IF(B163="","", ROUND(C163 * (VLOOKUP(B163, '💳 Debt Input'!$A$4:$G$9, 3, FALSE) / 12), 2))</f>
        <v>0</v>
      </c>
      <c r="E163" s="63" cm="1">
        <f t="array" aca="1" ref="E163" ca="1">IF(B163="","", ROUND(MIN(C163+D163, MAX(VLOOKUP(B163,'💳 Debt Input'!$A$4:$G$9,4,FALSE), $F$3 - IFERROR(SUM(OFFSET(E163, -MOD(ROW()-6, 6), 0, MOD(ROW()-6, 6))), 0) - IFERROR(SUM(SUMIF('💳 Debt Input'!$A$4:$A$9, OFFSET(B163, 1, 0, 5-MOD(ROW()-6, 6)), '💳 Debt Input'!$D$4:$D$9)), 0))), 2))</f>
        <v>0</v>
      </c>
      <c r="F163" s="63">
        <f t="shared" ca="1" si="5"/>
        <v>0</v>
      </c>
      <c r="G163" s="22" t="str">
        <f t="shared" ca="1" si="4"/>
        <v>Paid off</v>
      </c>
      <c r="H163" s="22"/>
    </row>
    <row r="164" spans="1:8" ht="18" customHeight="1" x14ac:dyDescent="0.35">
      <c r="A164" s="49"/>
      <c r="B164" s="6" t="str">
        <v>Auto Loan</v>
      </c>
      <c r="C164" s="63">
        <f ca="1"/>
        <v>802.08</v>
      </c>
      <c r="D164" s="63">
        <f ca="1">IF(B164="","", ROUND(C164 * (VLOOKUP(B164, '💳 Debt Input'!$A$4:$G$9, 3, FALSE) / 12), 2))</f>
        <v>6.68</v>
      </c>
      <c r="E164" s="63" cm="1">
        <f t="array" aca="1" ref="E164" ca="1">IF(B164="","", ROUND(MIN(C164+D164, MAX(VLOOKUP(B164,'💳 Debt Input'!$A$4:$G$9,4,FALSE), $F$3 - IFERROR(SUM(OFFSET(E164, -MOD(ROW()-6, 6), 0, MOD(ROW()-6, 6))), 0) - IFERROR(SUM(SUMIF('💳 Debt Input'!$A$4:$A$9, OFFSET(B164, 1, 0, 5-MOD(ROW()-6, 6)), '💳 Debt Input'!$D$4:$D$9)), 0))), 2))</f>
        <v>235</v>
      </c>
      <c r="F164" s="63">
        <f t="shared" ca="1" si="5"/>
        <v>573.76</v>
      </c>
      <c r="G164" s="22" t="str">
        <f t="shared" ca="1" si="4"/>
        <v>Active</v>
      </c>
      <c r="H164" s="22"/>
    </row>
    <row r="165" spans="1:8" ht="18" customHeight="1" x14ac:dyDescent="0.35">
      <c r="A165" s="49"/>
      <c r="B165" s="6" t="str">
        <v>Travel Card</v>
      </c>
      <c r="C165" s="63">
        <f ca="1"/>
        <v>4941.51</v>
      </c>
      <c r="D165" s="63">
        <f ca="1">IF(B165="","", ROUND(C165 * (VLOOKUP(B165, '💳 Debt Input'!$A$4:$G$9, 3, FALSE) / 12), 2))</f>
        <v>74.12</v>
      </c>
      <c r="E165" s="63" cm="1">
        <f t="array" aca="1" ref="E165" ca="1">IF(B165="","", ROUND(MIN(C165+D165, MAX(VLOOKUP(B165,'💳 Debt Input'!$A$4:$G$9,4,FALSE), $F$3 - IFERROR(SUM(OFFSET(E165, -MOD(ROW()-6, 6), 0, MOD(ROW()-6, 6))), 0) - IFERROR(SUM(SUMIF('💳 Debt Input'!$A$4:$A$9, OFFSET(B165, 1, 0, 5-MOD(ROW()-6, 6)), '💳 Debt Input'!$D$4:$D$9)), 0))), 2))</f>
        <v>270</v>
      </c>
      <c r="F165" s="63">
        <f t="shared" ca="1" si="5"/>
        <v>4745.63</v>
      </c>
      <c r="G165" s="22" t="str">
        <f t="shared" ca="1" si="4"/>
        <v>Active</v>
      </c>
      <c r="H165" s="22"/>
    </row>
    <row r="166" spans="1:8" ht="18" customHeight="1" x14ac:dyDescent="0.35">
      <c r="A166" s="49"/>
      <c r="B166" s="6" t="str">
        <v>Rewards Visa</v>
      </c>
      <c r="C166" s="63">
        <f ca="1"/>
        <v>16000</v>
      </c>
      <c r="D166" s="63">
        <f ca="1">IF(B166="","", ROUND(C166 * (VLOOKUP(B166, '💳 Debt Input'!$A$4:$G$9, 3, FALSE) / 12), 2))</f>
        <v>480</v>
      </c>
      <c r="E166" s="63" cm="1">
        <f t="array" aca="1" ref="E166" ca="1">IF(B166="","", ROUND(MIN(C166+D166, MAX(VLOOKUP(B166,'💳 Debt Input'!$A$4:$G$9,4,FALSE), $F$3 - IFERROR(SUM(OFFSET(E166, -MOD(ROW()-6, 6), 0, MOD(ROW()-6, 6))), 0) - IFERROR(SUM(SUMIF('💳 Debt Input'!$A$4:$A$9, OFFSET(B166, 1, 0, 5-MOD(ROW()-6, 6)), '💳 Debt Input'!$D$4:$D$9)), 0))), 2))</f>
        <v>480</v>
      </c>
      <c r="F166" s="63">
        <f t="shared" ca="1" si="5"/>
        <v>16000</v>
      </c>
      <c r="G166" s="22" t="str">
        <f t="shared" ca="1" si="4"/>
        <v>Active</v>
      </c>
      <c r="H166" s="22"/>
    </row>
    <row r="167" spans="1:8" ht="18" customHeight="1" x14ac:dyDescent="0.35">
      <c r="A167" s="51">
        <v>27</v>
      </c>
      <c r="B167" s="56" t="str" cm="1">
        <f t="array" ref="B167:B172">B161:B166</f>
        <v>Store Card</v>
      </c>
      <c r="C167" s="65" cm="1">
        <f t="array" aca="1" ref="C167:C172" ca="1">F161:F166</f>
        <v>0</v>
      </c>
      <c r="D167" s="65">
        <f ca="1">IF(B167="","", ROUND(C167 * (VLOOKUP(B167, '💳 Debt Input'!$A$4:$G$9, 3, FALSE) / 12), 2))</f>
        <v>0</v>
      </c>
      <c r="E167" s="65" cm="1">
        <f t="array" aca="1" ref="E167" ca="1">IF(B167="","", ROUND(MIN(C167+D167, MAX(VLOOKUP(B167,'💳 Debt Input'!$A$4:$G$9,4,FALSE), $F$3 - IFERROR(SUM(OFFSET(E167, -MOD(ROW()-6, 6), 0, MOD(ROW()-6, 6))), 0) - IFERROR(SUM(SUMIF('💳 Debt Input'!$A$4:$A$9, OFFSET(B167, 1, 0, 5-MOD(ROW()-6, 6)), '💳 Debt Input'!$D$4:$D$9)), 0))), 2))</f>
        <v>0</v>
      </c>
      <c r="F167" s="65">
        <f t="shared" ca="1" si="5"/>
        <v>0</v>
      </c>
      <c r="G167" s="25" t="str">
        <f t="shared" ca="1" si="4"/>
        <v>Paid off</v>
      </c>
      <c r="H167" s="25"/>
    </row>
    <row r="168" spans="1:8" ht="18" customHeight="1" x14ac:dyDescent="0.35">
      <c r="A168" s="52"/>
      <c r="B168" s="26" t="str">
        <v>Medical Bill</v>
      </c>
      <c r="C168" s="66">
        <f ca="1"/>
        <v>0</v>
      </c>
      <c r="D168" s="66">
        <f ca="1">IF(B168="","", ROUND(C168 * (VLOOKUP(B168, '💳 Debt Input'!$A$4:$G$9, 3, FALSE) / 12), 2))</f>
        <v>0</v>
      </c>
      <c r="E168" s="66" cm="1">
        <f t="array" aca="1" ref="E168" ca="1">IF(B168="","", ROUND(MIN(C168+D168, MAX(VLOOKUP(B168,'💳 Debt Input'!$A$4:$G$9,4,FALSE), $F$3 - IFERROR(SUM(OFFSET(E168, -MOD(ROW()-6, 6), 0, MOD(ROW()-6, 6))), 0) - IFERROR(SUM(SUMIF('💳 Debt Input'!$A$4:$A$9, OFFSET(B168, 1, 0, 5-MOD(ROW()-6, 6)), '💳 Debt Input'!$D$4:$D$9)), 0))), 2))</f>
        <v>0</v>
      </c>
      <c r="F168" s="66">
        <f t="shared" ca="1" si="5"/>
        <v>0</v>
      </c>
      <c r="G168" s="28" t="str">
        <f t="shared" ca="1" si="4"/>
        <v>Paid off</v>
      </c>
      <c r="H168" s="28"/>
    </row>
    <row r="169" spans="1:8" ht="18" customHeight="1" x14ac:dyDescent="0.35">
      <c r="A169" s="52"/>
      <c r="B169" s="26" t="str">
        <v>Personal Loan</v>
      </c>
      <c r="C169" s="66">
        <f ca="1"/>
        <v>0</v>
      </c>
      <c r="D169" s="66">
        <f ca="1">IF(B169="","", ROUND(C169 * (VLOOKUP(B169, '💳 Debt Input'!$A$4:$G$9, 3, FALSE) / 12), 2))</f>
        <v>0</v>
      </c>
      <c r="E169" s="66" cm="1">
        <f t="array" aca="1" ref="E169" ca="1">IF(B169="","", ROUND(MIN(C169+D169, MAX(VLOOKUP(B169,'💳 Debt Input'!$A$4:$G$9,4,FALSE), $F$3 - IFERROR(SUM(OFFSET(E169, -MOD(ROW()-6, 6), 0, MOD(ROW()-6, 6))), 0) - IFERROR(SUM(SUMIF('💳 Debt Input'!$A$4:$A$9, OFFSET(B169, 1, 0, 5-MOD(ROW()-6, 6)), '💳 Debt Input'!$D$4:$D$9)), 0))), 2))</f>
        <v>0</v>
      </c>
      <c r="F169" s="66">
        <f t="shared" ca="1" si="5"/>
        <v>0</v>
      </c>
      <c r="G169" s="28" t="str">
        <f t="shared" ca="1" si="4"/>
        <v>Paid off</v>
      </c>
      <c r="H169" s="28"/>
    </row>
    <row r="170" spans="1:8" ht="18" customHeight="1" x14ac:dyDescent="0.35">
      <c r="A170" s="47"/>
      <c r="B170" s="8" t="str">
        <v>Auto Loan</v>
      </c>
      <c r="C170" s="61">
        <f ca="1"/>
        <v>573.76</v>
      </c>
      <c r="D170" s="61">
        <f ca="1">IF(B170="","", ROUND(C170 * (VLOOKUP(B170, '💳 Debt Input'!$A$4:$G$9, 3, FALSE) / 12), 2))</f>
        <v>4.78</v>
      </c>
      <c r="E170" s="61" cm="1">
        <f t="array" aca="1" ref="E170" ca="1">IF(B170="","", ROUND(MIN(C170+D170, MAX(VLOOKUP(B170,'💳 Debt Input'!$A$4:$G$9,4,FALSE), $F$3 - IFERROR(SUM(OFFSET(E170, -MOD(ROW()-6, 6), 0, MOD(ROW()-6, 6))), 0) - IFERROR(SUM(SUMIF('💳 Debt Input'!$A$4:$A$9, OFFSET(B170, 1, 0, 5-MOD(ROW()-6, 6)), '💳 Debt Input'!$D$4:$D$9)), 0))), 2))</f>
        <v>235</v>
      </c>
      <c r="F170" s="61">
        <f t="shared" ca="1" si="5"/>
        <v>343.54</v>
      </c>
      <c r="G170" s="19" t="str">
        <f t="shared" ca="1" si="4"/>
        <v>Active</v>
      </c>
      <c r="H170" s="19"/>
    </row>
    <row r="171" spans="1:8" ht="18" customHeight="1" x14ac:dyDescent="0.35">
      <c r="A171" s="47"/>
      <c r="B171" s="8" t="str">
        <v>Travel Card</v>
      </c>
      <c r="C171" s="61">
        <f ca="1"/>
        <v>4745.63</v>
      </c>
      <c r="D171" s="61">
        <f ca="1">IF(B171="","", ROUND(C171 * (VLOOKUP(B171, '💳 Debt Input'!$A$4:$G$9, 3, FALSE) / 12), 2))</f>
        <v>71.180000000000007</v>
      </c>
      <c r="E171" s="61" cm="1">
        <f t="array" aca="1" ref="E171" ca="1">IF(B171="","", ROUND(MIN(C171+D171, MAX(VLOOKUP(B171,'💳 Debt Input'!$A$4:$G$9,4,FALSE), $F$3 - IFERROR(SUM(OFFSET(E171, -MOD(ROW()-6, 6), 0, MOD(ROW()-6, 6))), 0) - IFERROR(SUM(SUMIF('💳 Debt Input'!$A$4:$A$9, OFFSET(B171, 1, 0, 5-MOD(ROW()-6, 6)), '💳 Debt Input'!$D$4:$D$9)), 0))), 2))</f>
        <v>270</v>
      </c>
      <c r="F171" s="61">
        <f t="shared" ca="1" si="5"/>
        <v>4546.8100000000004</v>
      </c>
      <c r="G171" s="19" t="str">
        <f t="shared" ca="1" si="4"/>
        <v>Active</v>
      </c>
      <c r="H171" s="19"/>
    </row>
    <row r="172" spans="1:8" ht="18" customHeight="1" x14ac:dyDescent="0.35">
      <c r="A172" s="47"/>
      <c r="B172" s="8" t="str">
        <v>Rewards Visa</v>
      </c>
      <c r="C172" s="61">
        <f ca="1"/>
        <v>16000</v>
      </c>
      <c r="D172" s="61">
        <f ca="1">IF(B172="","", ROUND(C172 * (VLOOKUP(B172, '💳 Debt Input'!$A$4:$G$9, 3, FALSE) / 12), 2))</f>
        <v>480</v>
      </c>
      <c r="E172" s="61" cm="1">
        <f t="array" aca="1" ref="E172" ca="1">IF(B172="","", ROUND(MIN(C172+D172, MAX(VLOOKUP(B172,'💳 Debt Input'!$A$4:$G$9,4,FALSE), $F$3 - IFERROR(SUM(OFFSET(E172, -MOD(ROW()-6, 6), 0, MOD(ROW()-6, 6))), 0) - IFERROR(SUM(SUMIF('💳 Debt Input'!$A$4:$A$9, OFFSET(B172, 1, 0, 5-MOD(ROW()-6, 6)), '💳 Debt Input'!$D$4:$D$9)), 0))), 2))</f>
        <v>480</v>
      </c>
      <c r="F172" s="61">
        <f t="shared" ca="1" si="5"/>
        <v>16000</v>
      </c>
      <c r="G172" s="19" t="str">
        <f t="shared" ca="1" si="4"/>
        <v>Active</v>
      </c>
      <c r="H172" s="19"/>
    </row>
    <row r="173" spans="1:8" ht="18" customHeight="1" x14ac:dyDescent="0.35">
      <c r="A173" s="51">
        <v>28</v>
      </c>
      <c r="B173" s="56" t="str" cm="1">
        <f t="array" ref="B173:B178">B167:B172</f>
        <v>Store Card</v>
      </c>
      <c r="C173" s="65" cm="1">
        <f t="array" aca="1" ref="C173:C178" ca="1">F167:F172</f>
        <v>0</v>
      </c>
      <c r="D173" s="65">
        <f ca="1">IF(B173="","", ROUND(C173 * (VLOOKUP(B173, '💳 Debt Input'!$A$4:$G$9, 3, FALSE) / 12), 2))</f>
        <v>0</v>
      </c>
      <c r="E173" s="65" cm="1">
        <f t="array" aca="1" ref="E173" ca="1">IF(B173="","", ROUND(MIN(C173+D173, MAX(VLOOKUP(B173,'💳 Debt Input'!$A$4:$G$9,4,FALSE), $F$3 - IFERROR(SUM(OFFSET(E173, -MOD(ROW()-6, 6), 0, MOD(ROW()-6, 6))), 0) - IFERROR(SUM(SUMIF('💳 Debt Input'!$A$4:$A$9, OFFSET(B173, 1, 0, 5-MOD(ROW()-6, 6)), '💳 Debt Input'!$D$4:$D$9)), 0))), 2))</f>
        <v>0</v>
      </c>
      <c r="F173" s="65">
        <f t="shared" ca="1" si="5"/>
        <v>0</v>
      </c>
      <c r="G173" s="25" t="str">
        <f t="shared" ca="1" si="4"/>
        <v>Paid off</v>
      </c>
      <c r="H173" s="25"/>
    </row>
    <row r="174" spans="1:8" ht="18" customHeight="1" x14ac:dyDescent="0.35">
      <c r="A174" s="52"/>
      <c r="B174" s="26" t="str">
        <v>Medical Bill</v>
      </c>
      <c r="C174" s="66">
        <f ca="1"/>
        <v>0</v>
      </c>
      <c r="D174" s="66">
        <f ca="1">IF(B174="","", ROUND(C174 * (VLOOKUP(B174, '💳 Debt Input'!$A$4:$G$9, 3, FALSE) / 12), 2))</f>
        <v>0</v>
      </c>
      <c r="E174" s="66" cm="1">
        <f t="array" aca="1" ref="E174" ca="1">IF(B174="","", ROUND(MIN(C174+D174, MAX(VLOOKUP(B174,'💳 Debt Input'!$A$4:$G$9,4,FALSE), $F$3 - IFERROR(SUM(OFFSET(E174, -MOD(ROW()-6, 6), 0, MOD(ROW()-6, 6))), 0) - IFERROR(SUM(SUMIF('💳 Debt Input'!$A$4:$A$9, OFFSET(B174, 1, 0, 5-MOD(ROW()-6, 6)), '💳 Debt Input'!$D$4:$D$9)), 0))), 2))</f>
        <v>0</v>
      </c>
      <c r="F174" s="66">
        <f t="shared" ca="1" si="5"/>
        <v>0</v>
      </c>
      <c r="G174" s="28" t="str">
        <f t="shared" ca="1" si="4"/>
        <v>Paid off</v>
      </c>
      <c r="H174" s="28"/>
    </row>
    <row r="175" spans="1:8" ht="18" customHeight="1" x14ac:dyDescent="0.35">
      <c r="A175" s="52"/>
      <c r="B175" s="26" t="str">
        <v>Personal Loan</v>
      </c>
      <c r="C175" s="66">
        <f ca="1"/>
        <v>0</v>
      </c>
      <c r="D175" s="66">
        <f ca="1">IF(B175="","", ROUND(C175 * (VLOOKUP(B175, '💳 Debt Input'!$A$4:$G$9, 3, FALSE) / 12), 2))</f>
        <v>0</v>
      </c>
      <c r="E175" s="66" cm="1">
        <f t="array" aca="1" ref="E175" ca="1">IF(B175="","", ROUND(MIN(C175+D175, MAX(VLOOKUP(B175,'💳 Debt Input'!$A$4:$G$9,4,FALSE), $F$3 - IFERROR(SUM(OFFSET(E175, -MOD(ROW()-6, 6), 0, MOD(ROW()-6, 6))), 0) - IFERROR(SUM(SUMIF('💳 Debt Input'!$A$4:$A$9, OFFSET(B175, 1, 0, 5-MOD(ROW()-6, 6)), '💳 Debt Input'!$D$4:$D$9)), 0))), 2))</f>
        <v>0</v>
      </c>
      <c r="F175" s="66">
        <f t="shared" ca="1" si="5"/>
        <v>0</v>
      </c>
      <c r="G175" s="28" t="str">
        <f t="shared" ca="1" si="4"/>
        <v>Paid off</v>
      </c>
      <c r="H175" s="28"/>
    </row>
    <row r="176" spans="1:8" ht="18" customHeight="1" x14ac:dyDescent="0.35">
      <c r="A176" s="49"/>
      <c r="B176" s="6" t="str">
        <v>Auto Loan</v>
      </c>
      <c r="C176" s="63">
        <f ca="1"/>
        <v>343.54</v>
      </c>
      <c r="D176" s="63">
        <f ca="1">IF(B176="","", ROUND(C176 * (VLOOKUP(B176, '💳 Debt Input'!$A$4:$G$9, 3, FALSE) / 12), 2))</f>
        <v>2.86</v>
      </c>
      <c r="E176" s="63" cm="1">
        <f t="array" aca="1" ref="E176" ca="1">IF(B176="","", ROUND(MIN(C176+D176, MAX(VLOOKUP(B176,'💳 Debt Input'!$A$4:$G$9,4,FALSE), $F$3 - IFERROR(SUM(OFFSET(E176, -MOD(ROW()-6, 6), 0, MOD(ROW()-6, 6))), 0) - IFERROR(SUM(SUMIF('💳 Debt Input'!$A$4:$A$9, OFFSET(B176, 1, 0, 5-MOD(ROW()-6, 6)), '💳 Debt Input'!$D$4:$D$9)), 0))), 2))</f>
        <v>235</v>
      </c>
      <c r="F176" s="63">
        <f t="shared" ca="1" si="5"/>
        <v>111.4</v>
      </c>
      <c r="G176" s="22" t="str">
        <f t="shared" ca="1" si="4"/>
        <v>Active</v>
      </c>
      <c r="H176" s="22"/>
    </row>
    <row r="177" spans="1:8" ht="18" customHeight="1" x14ac:dyDescent="0.35">
      <c r="A177" s="49"/>
      <c r="B177" s="6" t="str">
        <v>Travel Card</v>
      </c>
      <c r="C177" s="63">
        <f ca="1"/>
        <v>4546.8100000000004</v>
      </c>
      <c r="D177" s="63">
        <f ca="1">IF(B177="","", ROUND(C177 * (VLOOKUP(B177, '💳 Debt Input'!$A$4:$G$9, 3, FALSE) / 12), 2))</f>
        <v>68.2</v>
      </c>
      <c r="E177" s="63" cm="1">
        <f t="array" aca="1" ref="E177" ca="1">IF(B177="","", ROUND(MIN(C177+D177, MAX(VLOOKUP(B177,'💳 Debt Input'!$A$4:$G$9,4,FALSE), $F$3 - IFERROR(SUM(OFFSET(E177, -MOD(ROW()-6, 6), 0, MOD(ROW()-6, 6))), 0) - IFERROR(SUM(SUMIF('💳 Debt Input'!$A$4:$A$9, OFFSET(B177, 1, 0, 5-MOD(ROW()-6, 6)), '💳 Debt Input'!$D$4:$D$9)), 0))), 2))</f>
        <v>270</v>
      </c>
      <c r="F177" s="63">
        <f t="shared" ca="1" si="5"/>
        <v>4345.01</v>
      </c>
      <c r="G177" s="22" t="str">
        <f t="shared" ca="1" si="4"/>
        <v>Active</v>
      </c>
      <c r="H177" s="22"/>
    </row>
    <row r="178" spans="1:8" ht="18" customHeight="1" x14ac:dyDescent="0.35">
      <c r="A178" s="49"/>
      <c r="B178" s="6" t="str">
        <v>Rewards Visa</v>
      </c>
      <c r="C178" s="63">
        <f ca="1"/>
        <v>16000</v>
      </c>
      <c r="D178" s="63">
        <f ca="1">IF(B178="","", ROUND(C178 * (VLOOKUP(B178, '💳 Debt Input'!$A$4:$G$9, 3, FALSE) / 12), 2))</f>
        <v>480</v>
      </c>
      <c r="E178" s="63" cm="1">
        <f t="array" aca="1" ref="E178" ca="1">IF(B178="","", ROUND(MIN(C178+D178, MAX(VLOOKUP(B178,'💳 Debt Input'!$A$4:$G$9,4,FALSE), $F$3 - IFERROR(SUM(OFFSET(E178, -MOD(ROW()-6, 6), 0, MOD(ROW()-6, 6))), 0) - IFERROR(SUM(SUMIF('💳 Debt Input'!$A$4:$A$9, OFFSET(B178, 1, 0, 5-MOD(ROW()-6, 6)), '💳 Debt Input'!$D$4:$D$9)), 0))), 2))</f>
        <v>480</v>
      </c>
      <c r="F178" s="63">
        <f t="shared" ca="1" si="5"/>
        <v>16000</v>
      </c>
      <c r="G178" s="22" t="str">
        <f t="shared" ca="1" si="4"/>
        <v>Active</v>
      </c>
      <c r="H178" s="22"/>
    </row>
    <row r="179" spans="1:8" ht="18" customHeight="1" x14ac:dyDescent="0.35">
      <c r="A179" s="51">
        <v>29</v>
      </c>
      <c r="B179" s="56" t="str" cm="1">
        <f t="array" ref="B179:B184">B173:B178</f>
        <v>Store Card</v>
      </c>
      <c r="C179" s="65" cm="1">
        <f t="array" aca="1" ref="C179:C184" ca="1">F173:F178</f>
        <v>0</v>
      </c>
      <c r="D179" s="65">
        <f ca="1">IF(B179="","", ROUND(C179 * (VLOOKUP(B179, '💳 Debt Input'!$A$4:$G$9, 3, FALSE) / 12), 2))</f>
        <v>0</v>
      </c>
      <c r="E179" s="65" cm="1">
        <f t="array" aca="1" ref="E179" ca="1">IF(B179="","", ROUND(MIN(C179+D179, MAX(VLOOKUP(B179,'💳 Debt Input'!$A$4:$G$9,4,FALSE), $F$3 - IFERROR(SUM(OFFSET(E179, -MOD(ROW()-6, 6), 0, MOD(ROW()-6, 6))), 0) - IFERROR(SUM(SUMIF('💳 Debt Input'!$A$4:$A$9, OFFSET(B179, 1, 0, 5-MOD(ROW()-6, 6)), '💳 Debt Input'!$D$4:$D$9)), 0))), 2))</f>
        <v>0</v>
      </c>
      <c r="F179" s="65">
        <f t="shared" ca="1" si="5"/>
        <v>0</v>
      </c>
      <c r="G179" s="25" t="str">
        <f t="shared" ca="1" si="4"/>
        <v>Paid off</v>
      </c>
      <c r="H179" s="25"/>
    </row>
    <row r="180" spans="1:8" ht="18" customHeight="1" x14ac:dyDescent="0.35">
      <c r="A180" s="52"/>
      <c r="B180" s="26" t="str">
        <v>Medical Bill</v>
      </c>
      <c r="C180" s="66">
        <f ca="1"/>
        <v>0</v>
      </c>
      <c r="D180" s="66">
        <f ca="1">IF(B180="","", ROUND(C180 * (VLOOKUP(B180, '💳 Debt Input'!$A$4:$G$9, 3, FALSE) / 12), 2))</f>
        <v>0</v>
      </c>
      <c r="E180" s="66" cm="1">
        <f t="array" aca="1" ref="E180" ca="1">IF(B180="","", ROUND(MIN(C180+D180, MAX(VLOOKUP(B180,'💳 Debt Input'!$A$4:$G$9,4,FALSE), $F$3 - IFERROR(SUM(OFFSET(E180, -MOD(ROW()-6, 6), 0, MOD(ROW()-6, 6))), 0) - IFERROR(SUM(SUMIF('💳 Debt Input'!$A$4:$A$9, OFFSET(B180, 1, 0, 5-MOD(ROW()-6, 6)), '💳 Debt Input'!$D$4:$D$9)), 0))), 2))</f>
        <v>0</v>
      </c>
      <c r="F180" s="66">
        <f t="shared" ca="1" si="5"/>
        <v>0</v>
      </c>
      <c r="G180" s="28" t="str">
        <f t="shared" ca="1" si="4"/>
        <v>Paid off</v>
      </c>
      <c r="H180" s="28"/>
    </row>
    <row r="181" spans="1:8" ht="18" customHeight="1" x14ac:dyDescent="0.35">
      <c r="A181" s="52"/>
      <c r="B181" s="26" t="str">
        <v>Personal Loan</v>
      </c>
      <c r="C181" s="66">
        <f ca="1"/>
        <v>0</v>
      </c>
      <c r="D181" s="66">
        <f ca="1">IF(B181="","", ROUND(C181 * (VLOOKUP(B181, '💳 Debt Input'!$A$4:$G$9, 3, FALSE) / 12), 2))</f>
        <v>0</v>
      </c>
      <c r="E181" s="66" cm="1">
        <f t="array" aca="1" ref="E181" ca="1">IF(B181="","", ROUND(MIN(C181+D181, MAX(VLOOKUP(B181,'💳 Debt Input'!$A$4:$G$9,4,FALSE), $F$3 - IFERROR(SUM(OFFSET(E181, -MOD(ROW()-6, 6), 0, MOD(ROW()-6, 6))), 0) - IFERROR(SUM(SUMIF('💳 Debt Input'!$A$4:$A$9, OFFSET(B181, 1, 0, 5-MOD(ROW()-6, 6)), '💳 Debt Input'!$D$4:$D$9)), 0))), 2))</f>
        <v>0</v>
      </c>
      <c r="F181" s="66">
        <f t="shared" ca="1" si="5"/>
        <v>0</v>
      </c>
      <c r="G181" s="28" t="str">
        <f t="shared" ca="1" si="4"/>
        <v>Paid off</v>
      </c>
      <c r="H181" s="28"/>
    </row>
    <row r="182" spans="1:8" ht="18" customHeight="1" x14ac:dyDescent="0.35">
      <c r="A182" s="47"/>
      <c r="B182" s="8" t="str">
        <v>Auto Loan</v>
      </c>
      <c r="C182" s="61">
        <f ca="1"/>
        <v>111.4</v>
      </c>
      <c r="D182" s="61">
        <f ca="1">IF(B182="","", ROUND(C182 * (VLOOKUP(B182, '💳 Debt Input'!$A$4:$G$9, 3, FALSE) / 12), 2))</f>
        <v>0.93</v>
      </c>
      <c r="E182" s="61" cm="1">
        <f t="array" aca="1" ref="E182" ca="1">IF(B182="","", ROUND(MIN(C182+D182, MAX(VLOOKUP(B182,'💳 Debt Input'!$A$4:$G$9,4,FALSE), $F$3 - IFERROR(SUM(OFFSET(E182, -MOD(ROW()-6, 6), 0, MOD(ROW()-6, 6))), 0) - IFERROR(SUM(SUMIF('💳 Debt Input'!$A$4:$A$9, OFFSET(B182, 1, 0, 5-MOD(ROW()-6, 6)), '💳 Debt Input'!$D$4:$D$9)), 0))), 2))</f>
        <v>112.33</v>
      </c>
      <c r="F182" s="61">
        <f t="shared" ca="1" si="5"/>
        <v>0</v>
      </c>
      <c r="G182" s="19" t="str">
        <f t="shared" ca="1" si="4"/>
        <v>Paid off</v>
      </c>
      <c r="H182" s="19"/>
    </row>
    <row r="183" spans="1:8" ht="18" customHeight="1" x14ac:dyDescent="0.35">
      <c r="A183" s="47"/>
      <c r="B183" s="8" t="str">
        <v>Travel Card</v>
      </c>
      <c r="C183" s="61">
        <f ca="1"/>
        <v>4345.01</v>
      </c>
      <c r="D183" s="61">
        <f ca="1">IF(B183="","", ROUND(C183 * (VLOOKUP(B183, '💳 Debt Input'!$A$4:$G$9, 3, FALSE) / 12), 2))</f>
        <v>65.180000000000007</v>
      </c>
      <c r="E183" s="61" cm="1">
        <f t="array" aca="1" ref="E183" ca="1">IF(B183="","", ROUND(MIN(C183+D183, MAX(VLOOKUP(B183,'💳 Debt Input'!$A$4:$G$9,4,FALSE), $F$3 - IFERROR(SUM(OFFSET(E183, -MOD(ROW()-6, 6), 0, MOD(ROW()-6, 6))), 0) - IFERROR(SUM(SUMIF('💳 Debt Input'!$A$4:$A$9, OFFSET(B183, 1, 0, 5-MOD(ROW()-6, 6)), '💳 Debt Input'!$D$4:$D$9)), 0))), 2))</f>
        <v>392.67</v>
      </c>
      <c r="F183" s="61">
        <f t="shared" ca="1" si="5"/>
        <v>4017.52</v>
      </c>
      <c r="G183" s="19" t="str">
        <f t="shared" ca="1" si="4"/>
        <v>Active</v>
      </c>
      <c r="H183" s="19"/>
    </row>
    <row r="184" spans="1:8" ht="18" customHeight="1" x14ac:dyDescent="0.35">
      <c r="A184" s="47"/>
      <c r="B184" s="8" t="str">
        <v>Rewards Visa</v>
      </c>
      <c r="C184" s="61">
        <f ca="1"/>
        <v>16000</v>
      </c>
      <c r="D184" s="61">
        <f ca="1">IF(B184="","", ROUND(C184 * (VLOOKUP(B184, '💳 Debt Input'!$A$4:$G$9, 3, FALSE) / 12), 2))</f>
        <v>480</v>
      </c>
      <c r="E184" s="61" cm="1">
        <f t="array" aca="1" ref="E184" ca="1">IF(B184="","", ROUND(MIN(C184+D184, MAX(VLOOKUP(B184,'💳 Debt Input'!$A$4:$G$9,4,FALSE), $F$3 - IFERROR(SUM(OFFSET(E184, -MOD(ROW()-6, 6), 0, MOD(ROW()-6, 6))), 0) - IFERROR(SUM(SUMIF('💳 Debt Input'!$A$4:$A$9, OFFSET(B184, 1, 0, 5-MOD(ROW()-6, 6)), '💳 Debt Input'!$D$4:$D$9)), 0))), 2))</f>
        <v>480</v>
      </c>
      <c r="F184" s="61">
        <f t="shared" ca="1" si="5"/>
        <v>16000</v>
      </c>
      <c r="G184" s="19" t="str">
        <f t="shared" ca="1" si="4"/>
        <v>Active</v>
      </c>
      <c r="H184" s="19"/>
    </row>
    <row r="185" spans="1:8" ht="18" customHeight="1" x14ac:dyDescent="0.35">
      <c r="A185" s="51">
        <v>30</v>
      </c>
      <c r="B185" s="56" t="str" cm="1">
        <f t="array" ref="B185:B190">B179:B184</f>
        <v>Store Card</v>
      </c>
      <c r="C185" s="65" cm="1">
        <f t="array" aca="1" ref="C185:C190" ca="1">F179:F184</f>
        <v>0</v>
      </c>
      <c r="D185" s="65">
        <f ca="1">IF(B185="","", ROUND(C185 * (VLOOKUP(B185, '💳 Debt Input'!$A$4:$G$9, 3, FALSE) / 12), 2))</f>
        <v>0</v>
      </c>
      <c r="E185" s="65" cm="1">
        <f t="array" aca="1" ref="E185" ca="1">IF(B185="","", ROUND(MIN(C185+D185, MAX(VLOOKUP(B185,'💳 Debt Input'!$A$4:$G$9,4,FALSE), $F$3 - IFERROR(SUM(OFFSET(E185, -MOD(ROW()-6, 6), 0, MOD(ROW()-6, 6))), 0) - IFERROR(SUM(SUMIF('💳 Debt Input'!$A$4:$A$9, OFFSET(B185, 1, 0, 5-MOD(ROW()-6, 6)), '💳 Debt Input'!$D$4:$D$9)), 0))), 2))</f>
        <v>0</v>
      </c>
      <c r="F185" s="65">
        <f t="shared" ca="1" si="5"/>
        <v>0</v>
      </c>
      <c r="G185" s="25" t="str">
        <f t="shared" ca="1" si="4"/>
        <v>Paid off</v>
      </c>
      <c r="H185" s="25"/>
    </row>
    <row r="186" spans="1:8" ht="18" customHeight="1" x14ac:dyDescent="0.35">
      <c r="A186" s="52"/>
      <c r="B186" s="26" t="str">
        <v>Medical Bill</v>
      </c>
      <c r="C186" s="66">
        <f ca="1"/>
        <v>0</v>
      </c>
      <c r="D186" s="66">
        <f ca="1">IF(B186="","", ROUND(C186 * (VLOOKUP(B186, '💳 Debt Input'!$A$4:$G$9, 3, FALSE) / 12), 2))</f>
        <v>0</v>
      </c>
      <c r="E186" s="66" cm="1">
        <f t="array" aca="1" ref="E186" ca="1">IF(B186="","", ROUND(MIN(C186+D186, MAX(VLOOKUP(B186,'💳 Debt Input'!$A$4:$G$9,4,FALSE), $F$3 - IFERROR(SUM(OFFSET(E186, -MOD(ROW()-6, 6), 0, MOD(ROW()-6, 6))), 0) - IFERROR(SUM(SUMIF('💳 Debt Input'!$A$4:$A$9, OFFSET(B186, 1, 0, 5-MOD(ROW()-6, 6)), '💳 Debt Input'!$D$4:$D$9)), 0))), 2))</f>
        <v>0</v>
      </c>
      <c r="F186" s="66">
        <f t="shared" ca="1" si="5"/>
        <v>0</v>
      </c>
      <c r="G186" s="28" t="str">
        <f t="shared" ca="1" si="4"/>
        <v>Paid off</v>
      </c>
      <c r="H186" s="28"/>
    </row>
    <row r="187" spans="1:8" ht="18" customHeight="1" x14ac:dyDescent="0.35">
      <c r="A187" s="52"/>
      <c r="B187" s="26" t="str">
        <v>Personal Loan</v>
      </c>
      <c r="C187" s="66">
        <f ca="1"/>
        <v>0</v>
      </c>
      <c r="D187" s="66">
        <f ca="1">IF(B187="","", ROUND(C187 * (VLOOKUP(B187, '💳 Debt Input'!$A$4:$G$9, 3, FALSE) / 12), 2))</f>
        <v>0</v>
      </c>
      <c r="E187" s="66" cm="1">
        <f t="array" aca="1" ref="E187" ca="1">IF(B187="","", ROUND(MIN(C187+D187, MAX(VLOOKUP(B187,'💳 Debt Input'!$A$4:$G$9,4,FALSE), $F$3 - IFERROR(SUM(OFFSET(E187, -MOD(ROW()-6, 6), 0, MOD(ROW()-6, 6))), 0) - IFERROR(SUM(SUMIF('💳 Debt Input'!$A$4:$A$9, OFFSET(B187, 1, 0, 5-MOD(ROW()-6, 6)), '💳 Debt Input'!$D$4:$D$9)), 0))), 2))</f>
        <v>0</v>
      </c>
      <c r="F187" s="66">
        <f t="shared" ca="1" si="5"/>
        <v>0</v>
      </c>
      <c r="G187" s="28" t="str">
        <f t="shared" ca="1" si="4"/>
        <v>Paid off</v>
      </c>
      <c r="H187" s="28"/>
    </row>
    <row r="188" spans="1:8" ht="18" customHeight="1" x14ac:dyDescent="0.35">
      <c r="A188" s="49"/>
      <c r="B188" s="6" t="str">
        <v>Auto Loan</v>
      </c>
      <c r="C188" s="63">
        <f ca="1"/>
        <v>0</v>
      </c>
      <c r="D188" s="63">
        <f ca="1">IF(B188="","", ROUND(C188 * (VLOOKUP(B188, '💳 Debt Input'!$A$4:$G$9, 3, FALSE) / 12), 2))</f>
        <v>0</v>
      </c>
      <c r="E188" s="63" cm="1">
        <f t="array" aca="1" ref="E188" ca="1">IF(B188="","", ROUND(MIN(C188+D188, MAX(VLOOKUP(B188,'💳 Debt Input'!$A$4:$G$9,4,FALSE), $F$3 - IFERROR(SUM(OFFSET(E188, -MOD(ROW()-6, 6), 0, MOD(ROW()-6, 6))), 0) - IFERROR(SUM(SUMIF('💳 Debt Input'!$A$4:$A$9, OFFSET(B188, 1, 0, 5-MOD(ROW()-6, 6)), '💳 Debt Input'!$D$4:$D$9)), 0))), 2))</f>
        <v>0</v>
      </c>
      <c r="F188" s="63">
        <f t="shared" ca="1" si="5"/>
        <v>0</v>
      </c>
      <c r="G188" s="22" t="str">
        <f t="shared" ca="1" si="4"/>
        <v>Paid off</v>
      </c>
      <c r="H188" s="22"/>
    </row>
    <row r="189" spans="1:8" ht="18" customHeight="1" x14ac:dyDescent="0.35">
      <c r="A189" s="49"/>
      <c r="B189" s="6" t="str">
        <v>Travel Card</v>
      </c>
      <c r="C189" s="63">
        <f ca="1"/>
        <v>4017.52</v>
      </c>
      <c r="D189" s="63">
        <f ca="1">IF(B189="","", ROUND(C189 * (VLOOKUP(B189, '💳 Debt Input'!$A$4:$G$9, 3, FALSE) / 12), 2))</f>
        <v>60.26</v>
      </c>
      <c r="E189" s="63" cm="1">
        <f t="array" aca="1" ref="E189" ca="1">IF(B189="","", ROUND(MIN(C189+D189, MAX(VLOOKUP(B189,'💳 Debt Input'!$A$4:$G$9,4,FALSE), $F$3 - IFERROR(SUM(OFFSET(E189, -MOD(ROW()-6, 6), 0, MOD(ROW()-6, 6))), 0) - IFERROR(SUM(SUMIF('💳 Debt Input'!$A$4:$A$9, OFFSET(B189, 1, 0, 5-MOD(ROW()-6, 6)), '💳 Debt Input'!$D$4:$D$9)), 0))), 2))</f>
        <v>505</v>
      </c>
      <c r="F189" s="63">
        <f t="shared" ca="1" si="5"/>
        <v>3572.78</v>
      </c>
      <c r="G189" s="22" t="str">
        <f t="shared" ca="1" si="4"/>
        <v>Active</v>
      </c>
      <c r="H189" s="22"/>
    </row>
    <row r="190" spans="1:8" ht="18" customHeight="1" x14ac:dyDescent="0.35">
      <c r="A190" s="49"/>
      <c r="B190" s="6" t="str">
        <v>Rewards Visa</v>
      </c>
      <c r="C190" s="63">
        <f ca="1"/>
        <v>16000</v>
      </c>
      <c r="D190" s="63">
        <f ca="1">IF(B190="","", ROUND(C190 * (VLOOKUP(B190, '💳 Debt Input'!$A$4:$G$9, 3, FALSE) / 12), 2))</f>
        <v>480</v>
      </c>
      <c r="E190" s="63" cm="1">
        <f t="array" aca="1" ref="E190" ca="1">IF(B190="","", ROUND(MIN(C190+D190, MAX(VLOOKUP(B190,'💳 Debt Input'!$A$4:$G$9,4,FALSE), $F$3 - IFERROR(SUM(OFFSET(E190, -MOD(ROW()-6, 6), 0, MOD(ROW()-6, 6))), 0) - IFERROR(SUM(SUMIF('💳 Debt Input'!$A$4:$A$9, OFFSET(B190, 1, 0, 5-MOD(ROW()-6, 6)), '💳 Debt Input'!$D$4:$D$9)), 0))), 2))</f>
        <v>480</v>
      </c>
      <c r="F190" s="63">
        <f t="shared" ca="1" si="5"/>
        <v>16000</v>
      </c>
      <c r="G190" s="22" t="str">
        <f t="shared" ca="1" si="4"/>
        <v>Active</v>
      </c>
      <c r="H190" s="22"/>
    </row>
    <row r="191" spans="1:8" ht="18" customHeight="1" x14ac:dyDescent="0.35">
      <c r="A191" s="51">
        <v>31</v>
      </c>
      <c r="B191" s="56" t="str" cm="1">
        <f t="array" ref="B191:B196">B185:B190</f>
        <v>Store Card</v>
      </c>
      <c r="C191" s="65" cm="1">
        <f t="array" aca="1" ref="C191:C196" ca="1">F185:F190</f>
        <v>0</v>
      </c>
      <c r="D191" s="65">
        <f ca="1">IF(B191="","", ROUND(C191 * (VLOOKUP(B191, '💳 Debt Input'!$A$4:$G$9, 3, FALSE) / 12), 2))</f>
        <v>0</v>
      </c>
      <c r="E191" s="65" cm="1">
        <f t="array" aca="1" ref="E191" ca="1">IF(B191="","", ROUND(MIN(C191+D191, MAX(VLOOKUP(B191,'💳 Debt Input'!$A$4:$G$9,4,FALSE), $F$3 - IFERROR(SUM(OFFSET(E191, -MOD(ROW()-6, 6), 0, MOD(ROW()-6, 6))), 0) - IFERROR(SUM(SUMIF('💳 Debt Input'!$A$4:$A$9, OFFSET(B191, 1, 0, 5-MOD(ROW()-6, 6)), '💳 Debt Input'!$D$4:$D$9)), 0))), 2))</f>
        <v>0</v>
      </c>
      <c r="F191" s="65">
        <f t="shared" ca="1" si="5"/>
        <v>0</v>
      </c>
      <c r="G191" s="25" t="str">
        <f t="shared" ca="1" si="4"/>
        <v>Paid off</v>
      </c>
      <c r="H191" s="25"/>
    </row>
    <row r="192" spans="1:8" ht="18" customHeight="1" x14ac:dyDescent="0.35">
      <c r="A192" s="52"/>
      <c r="B192" s="26" t="str">
        <v>Medical Bill</v>
      </c>
      <c r="C192" s="66">
        <f ca="1"/>
        <v>0</v>
      </c>
      <c r="D192" s="66">
        <f ca="1">IF(B192="","", ROUND(C192 * (VLOOKUP(B192, '💳 Debt Input'!$A$4:$G$9, 3, FALSE) / 12), 2))</f>
        <v>0</v>
      </c>
      <c r="E192" s="66" cm="1">
        <f t="array" aca="1" ref="E192" ca="1">IF(B192="","", ROUND(MIN(C192+D192, MAX(VLOOKUP(B192,'💳 Debt Input'!$A$4:$G$9,4,FALSE), $F$3 - IFERROR(SUM(OFFSET(E192, -MOD(ROW()-6, 6), 0, MOD(ROW()-6, 6))), 0) - IFERROR(SUM(SUMIF('💳 Debt Input'!$A$4:$A$9, OFFSET(B192, 1, 0, 5-MOD(ROW()-6, 6)), '💳 Debt Input'!$D$4:$D$9)), 0))), 2))</f>
        <v>0</v>
      </c>
      <c r="F192" s="66">
        <f t="shared" ca="1" si="5"/>
        <v>0</v>
      </c>
      <c r="G192" s="28" t="str">
        <f t="shared" ca="1" si="4"/>
        <v>Paid off</v>
      </c>
      <c r="H192" s="28"/>
    </row>
    <row r="193" spans="1:8" ht="18" customHeight="1" x14ac:dyDescent="0.35">
      <c r="A193" s="52"/>
      <c r="B193" s="26" t="str">
        <v>Personal Loan</v>
      </c>
      <c r="C193" s="66">
        <f ca="1"/>
        <v>0</v>
      </c>
      <c r="D193" s="66">
        <f ca="1">IF(B193="","", ROUND(C193 * (VLOOKUP(B193, '💳 Debt Input'!$A$4:$G$9, 3, FALSE) / 12), 2))</f>
        <v>0</v>
      </c>
      <c r="E193" s="66" cm="1">
        <f t="array" aca="1" ref="E193" ca="1">IF(B193="","", ROUND(MIN(C193+D193, MAX(VLOOKUP(B193,'💳 Debt Input'!$A$4:$G$9,4,FALSE), $F$3 - IFERROR(SUM(OFFSET(E193, -MOD(ROW()-6, 6), 0, MOD(ROW()-6, 6))), 0) - IFERROR(SUM(SUMIF('💳 Debt Input'!$A$4:$A$9, OFFSET(B193, 1, 0, 5-MOD(ROW()-6, 6)), '💳 Debt Input'!$D$4:$D$9)), 0))), 2))</f>
        <v>0</v>
      </c>
      <c r="F193" s="66">
        <f t="shared" ca="1" si="5"/>
        <v>0</v>
      </c>
      <c r="G193" s="28" t="str">
        <f t="shared" ca="1" si="4"/>
        <v>Paid off</v>
      </c>
      <c r="H193" s="28"/>
    </row>
    <row r="194" spans="1:8" ht="18" customHeight="1" x14ac:dyDescent="0.35">
      <c r="A194" s="47"/>
      <c r="B194" s="8" t="str">
        <v>Auto Loan</v>
      </c>
      <c r="C194" s="61">
        <f ca="1"/>
        <v>0</v>
      </c>
      <c r="D194" s="61">
        <f ca="1">IF(B194="","", ROUND(C194 * (VLOOKUP(B194, '💳 Debt Input'!$A$4:$G$9, 3, FALSE) / 12), 2))</f>
        <v>0</v>
      </c>
      <c r="E194" s="61" cm="1">
        <f t="array" aca="1" ref="E194" ca="1">IF(B194="","", ROUND(MIN(C194+D194, MAX(VLOOKUP(B194,'💳 Debt Input'!$A$4:$G$9,4,FALSE), $F$3 - IFERROR(SUM(OFFSET(E194, -MOD(ROW()-6, 6), 0, MOD(ROW()-6, 6))), 0) - IFERROR(SUM(SUMIF('💳 Debt Input'!$A$4:$A$9, OFFSET(B194, 1, 0, 5-MOD(ROW()-6, 6)), '💳 Debt Input'!$D$4:$D$9)), 0))), 2))</f>
        <v>0</v>
      </c>
      <c r="F194" s="61">
        <f t="shared" ca="1" si="5"/>
        <v>0</v>
      </c>
      <c r="G194" s="19" t="str">
        <f t="shared" ca="1" si="4"/>
        <v>Paid off</v>
      </c>
      <c r="H194" s="19"/>
    </row>
    <row r="195" spans="1:8" ht="18" customHeight="1" x14ac:dyDescent="0.35">
      <c r="A195" s="47"/>
      <c r="B195" s="8" t="str">
        <v>Travel Card</v>
      </c>
      <c r="C195" s="61">
        <f ca="1"/>
        <v>3572.78</v>
      </c>
      <c r="D195" s="61">
        <f ca="1">IF(B195="","", ROUND(C195 * (VLOOKUP(B195, '💳 Debt Input'!$A$4:$G$9, 3, FALSE) / 12), 2))</f>
        <v>53.59</v>
      </c>
      <c r="E195" s="61" cm="1">
        <f t="array" aca="1" ref="E195" ca="1">IF(B195="","", ROUND(MIN(C195+D195, MAX(VLOOKUP(B195,'💳 Debt Input'!$A$4:$G$9,4,FALSE), $F$3 - IFERROR(SUM(OFFSET(E195, -MOD(ROW()-6, 6), 0, MOD(ROW()-6, 6))), 0) - IFERROR(SUM(SUMIF('💳 Debt Input'!$A$4:$A$9, OFFSET(B195, 1, 0, 5-MOD(ROW()-6, 6)), '💳 Debt Input'!$D$4:$D$9)), 0))), 2))</f>
        <v>505</v>
      </c>
      <c r="F195" s="61">
        <f t="shared" ca="1" si="5"/>
        <v>3121.37</v>
      </c>
      <c r="G195" s="19" t="str">
        <f t="shared" ca="1" si="4"/>
        <v>Active</v>
      </c>
      <c r="H195" s="19"/>
    </row>
    <row r="196" spans="1:8" ht="18" customHeight="1" x14ac:dyDescent="0.35">
      <c r="A196" s="47"/>
      <c r="B196" s="8" t="str">
        <v>Rewards Visa</v>
      </c>
      <c r="C196" s="61">
        <f ca="1"/>
        <v>16000</v>
      </c>
      <c r="D196" s="61">
        <f ca="1">IF(B196="","", ROUND(C196 * (VLOOKUP(B196, '💳 Debt Input'!$A$4:$G$9, 3, FALSE) / 12), 2))</f>
        <v>480</v>
      </c>
      <c r="E196" s="61" cm="1">
        <f t="array" aca="1" ref="E196" ca="1">IF(B196="","", ROUND(MIN(C196+D196, MAX(VLOOKUP(B196,'💳 Debt Input'!$A$4:$G$9,4,FALSE), $F$3 - IFERROR(SUM(OFFSET(E196, -MOD(ROW()-6, 6), 0, MOD(ROW()-6, 6))), 0) - IFERROR(SUM(SUMIF('💳 Debt Input'!$A$4:$A$9, OFFSET(B196, 1, 0, 5-MOD(ROW()-6, 6)), '💳 Debt Input'!$D$4:$D$9)), 0))), 2))</f>
        <v>480</v>
      </c>
      <c r="F196" s="61">
        <f t="shared" ca="1" si="5"/>
        <v>16000</v>
      </c>
      <c r="G196" s="19" t="str">
        <f t="shared" ca="1" si="4"/>
        <v>Active</v>
      </c>
      <c r="H196" s="19"/>
    </row>
    <row r="197" spans="1:8" ht="18" customHeight="1" x14ac:dyDescent="0.35">
      <c r="A197" s="51">
        <v>32</v>
      </c>
      <c r="B197" s="56" t="str" cm="1">
        <f t="array" ref="B197:B202">B191:B196</f>
        <v>Store Card</v>
      </c>
      <c r="C197" s="65" cm="1">
        <f t="array" aca="1" ref="C197:C202" ca="1">F191:F196</f>
        <v>0</v>
      </c>
      <c r="D197" s="65">
        <f ca="1">IF(B197="","", ROUND(C197 * (VLOOKUP(B197, '💳 Debt Input'!$A$4:$G$9, 3, FALSE) / 12), 2))</f>
        <v>0</v>
      </c>
      <c r="E197" s="65" cm="1">
        <f t="array" aca="1" ref="E197" ca="1">IF(B197="","", ROUND(MIN(C197+D197, MAX(VLOOKUP(B197,'💳 Debt Input'!$A$4:$G$9,4,FALSE), $F$3 - IFERROR(SUM(OFFSET(E197, -MOD(ROW()-6, 6), 0, MOD(ROW()-6, 6))), 0) - IFERROR(SUM(SUMIF('💳 Debt Input'!$A$4:$A$9, OFFSET(B197, 1, 0, 5-MOD(ROW()-6, 6)), '💳 Debt Input'!$D$4:$D$9)), 0))), 2))</f>
        <v>0</v>
      </c>
      <c r="F197" s="65">
        <f t="shared" ca="1" si="5"/>
        <v>0</v>
      </c>
      <c r="G197" s="25" t="str">
        <f t="shared" ca="1" si="4"/>
        <v>Paid off</v>
      </c>
      <c r="H197" s="25"/>
    </row>
    <row r="198" spans="1:8" ht="18" customHeight="1" x14ac:dyDescent="0.35">
      <c r="A198" s="52"/>
      <c r="B198" s="26" t="str">
        <v>Medical Bill</v>
      </c>
      <c r="C198" s="66">
        <f ca="1"/>
        <v>0</v>
      </c>
      <c r="D198" s="66">
        <f ca="1">IF(B198="","", ROUND(C198 * (VLOOKUP(B198, '💳 Debt Input'!$A$4:$G$9, 3, FALSE) / 12), 2))</f>
        <v>0</v>
      </c>
      <c r="E198" s="66" cm="1">
        <f t="array" aca="1" ref="E198" ca="1">IF(B198="","", ROUND(MIN(C198+D198, MAX(VLOOKUP(B198,'💳 Debt Input'!$A$4:$G$9,4,FALSE), $F$3 - IFERROR(SUM(OFFSET(E198, -MOD(ROW()-6, 6), 0, MOD(ROW()-6, 6))), 0) - IFERROR(SUM(SUMIF('💳 Debt Input'!$A$4:$A$9, OFFSET(B198, 1, 0, 5-MOD(ROW()-6, 6)), '💳 Debt Input'!$D$4:$D$9)), 0))), 2))</f>
        <v>0</v>
      </c>
      <c r="F198" s="66">
        <f t="shared" ca="1" si="5"/>
        <v>0</v>
      </c>
      <c r="G198" s="28" t="str">
        <f t="shared" ca="1" si="4"/>
        <v>Paid off</v>
      </c>
      <c r="H198" s="28"/>
    </row>
    <row r="199" spans="1:8" ht="18" customHeight="1" x14ac:dyDescent="0.35">
      <c r="A199" s="52"/>
      <c r="B199" s="26" t="str">
        <v>Personal Loan</v>
      </c>
      <c r="C199" s="66">
        <f ca="1"/>
        <v>0</v>
      </c>
      <c r="D199" s="66">
        <f ca="1">IF(B199="","", ROUND(C199 * (VLOOKUP(B199, '💳 Debt Input'!$A$4:$G$9, 3, FALSE) / 12), 2))</f>
        <v>0</v>
      </c>
      <c r="E199" s="66" cm="1">
        <f t="array" aca="1" ref="E199" ca="1">IF(B199="","", ROUND(MIN(C199+D199, MAX(VLOOKUP(B199,'💳 Debt Input'!$A$4:$G$9,4,FALSE), $F$3 - IFERROR(SUM(OFFSET(E199, -MOD(ROW()-6, 6), 0, MOD(ROW()-6, 6))), 0) - IFERROR(SUM(SUMIF('💳 Debt Input'!$A$4:$A$9, OFFSET(B199, 1, 0, 5-MOD(ROW()-6, 6)), '💳 Debt Input'!$D$4:$D$9)), 0))), 2))</f>
        <v>0</v>
      </c>
      <c r="F199" s="66">
        <f t="shared" ca="1" si="5"/>
        <v>0</v>
      </c>
      <c r="G199" s="28" t="str">
        <f t="shared" ca="1" si="4"/>
        <v>Paid off</v>
      </c>
      <c r="H199" s="28"/>
    </row>
    <row r="200" spans="1:8" ht="18" customHeight="1" x14ac:dyDescent="0.35">
      <c r="A200" s="49"/>
      <c r="B200" s="6" t="str">
        <v>Auto Loan</v>
      </c>
      <c r="C200" s="63">
        <f ca="1"/>
        <v>0</v>
      </c>
      <c r="D200" s="63">
        <f ca="1">IF(B200="","", ROUND(C200 * (VLOOKUP(B200, '💳 Debt Input'!$A$4:$G$9, 3, FALSE) / 12), 2))</f>
        <v>0</v>
      </c>
      <c r="E200" s="63" cm="1">
        <f t="array" aca="1" ref="E200" ca="1">IF(B200="","", ROUND(MIN(C200+D200, MAX(VLOOKUP(B200,'💳 Debt Input'!$A$4:$G$9,4,FALSE), $F$3 - IFERROR(SUM(OFFSET(E200, -MOD(ROW()-6, 6), 0, MOD(ROW()-6, 6))), 0) - IFERROR(SUM(SUMIF('💳 Debt Input'!$A$4:$A$9, OFFSET(B200, 1, 0, 5-MOD(ROW()-6, 6)), '💳 Debt Input'!$D$4:$D$9)), 0))), 2))</f>
        <v>0</v>
      </c>
      <c r="F200" s="63">
        <f t="shared" ca="1" si="5"/>
        <v>0</v>
      </c>
      <c r="G200" s="22" t="str">
        <f t="shared" ca="1" si="4"/>
        <v>Paid off</v>
      </c>
      <c r="H200" s="22"/>
    </row>
    <row r="201" spans="1:8" ht="18" customHeight="1" x14ac:dyDescent="0.35">
      <c r="A201" s="49"/>
      <c r="B201" s="6" t="str">
        <v>Travel Card</v>
      </c>
      <c r="C201" s="63">
        <f ca="1"/>
        <v>3121.37</v>
      </c>
      <c r="D201" s="63">
        <f ca="1">IF(B201="","", ROUND(C201 * (VLOOKUP(B201, '💳 Debt Input'!$A$4:$G$9, 3, FALSE) / 12), 2))</f>
        <v>46.82</v>
      </c>
      <c r="E201" s="63" cm="1">
        <f t="array" aca="1" ref="E201" ca="1">IF(B201="","", ROUND(MIN(C201+D201, MAX(VLOOKUP(B201,'💳 Debt Input'!$A$4:$G$9,4,FALSE), $F$3 - IFERROR(SUM(OFFSET(E201, -MOD(ROW()-6, 6), 0, MOD(ROW()-6, 6))), 0) - IFERROR(SUM(SUMIF('💳 Debt Input'!$A$4:$A$9, OFFSET(B201, 1, 0, 5-MOD(ROW()-6, 6)), '💳 Debt Input'!$D$4:$D$9)), 0))), 2))</f>
        <v>505</v>
      </c>
      <c r="F201" s="63">
        <f t="shared" ca="1" si="5"/>
        <v>2663.19</v>
      </c>
      <c r="G201" s="22" t="str">
        <f t="shared" ca="1" si="4"/>
        <v>Active</v>
      </c>
      <c r="H201" s="22"/>
    </row>
    <row r="202" spans="1:8" ht="18" customHeight="1" x14ac:dyDescent="0.35">
      <c r="A202" s="49"/>
      <c r="B202" s="6" t="str">
        <v>Rewards Visa</v>
      </c>
      <c r="C202" s="63">
        <f ca="1"/>
        <v>16000</v>
      </c>
      <c r="D202" s="63">
        <f ca="1">IF(B202="","", ROUND(C202 * (VLOOKUP(B202, '💳 Debt Input'!$A$4:$G$9, 3, FALSE) / 12), 2))</f>
        <v>480</v>
      </c>
      <c r="E202" s="63" cm="1">
        <f t="array" aca="1" ref="E202" ca="1">IF(B202="","", ROUND(MIN(C202+D202, MAX(VLOOKUP(B202,'💳 Debt Input'!$A$4:$G$9,4,FALSE), $F$3 - IFERROR(SUM(OFFSET(E202, -MOD(ROW()-6, 6), 0, MOD(ROW()-6, 6))), 0) - IFERROR(SUM(SUMIF('💳 Debt Input'!$A$4:$A$9, OFFSET(B202, 1, 0, 5-MOD(ROW()-6, 6)), '💳 Debt Input'!$D$4:$D$9)), 0))), 2))</f>
        <v>480</v>
      </c>
      <c r="F202" s="63">
        <f t="shared" ca="1" si="5"/>
        <v>16000</v>
      </c>
      <c r="G202" s="22" t="str">
        <f t="shared" ca="1" si="4"/>
        <v>Active</v>
      </c>
      <c r="H202" s="22"/>
    </row>
    <row r="203" spans="1:8" ht="18" customHeight="1" x14ac:dyDescent="0.35">
      <c r="A203" s="51">
        <v>33</v>
      </c>
      <c r="B203" s="56" t="str" cm="1">
        <f t="array" ref="B203:B208">B197:B202</f>
        <v>Store Card</v>
      </c>
      <c r="C203" s="65" cm="1">
        <f t="array" aca="1" ref="C203:C208" ca="1">F197:F202</f>
        <v>0</v>
      </c>
      <c r="D203" s="65">
        <f ca="1">IF(B203="","", ROUND(C203 * (VLOOKUP(B203, '💳 Debt Input'!$A$4:$G$9, 3, FALSE) / 12), 2))</f>
        <v>0</v>
      </c>
      <c r="E203" s="65" cm="1">
        <f t="array" aca="1" ref="E203" ca="1">IF(B203="","", ROUND(MIN(C203+D203, MAX(VLOOKUP(B203,'💳 Debt Input'!$A$4:$G$9,4,FALSE), $F$3 - IFERROR(SUM(OFFSET(E203, -MOD(ROW()-6, 6), 0, MOD(ROW()-6, 6))), 0) - IFERROR(SUM(SUMIF('💳 Debt Input'!$A$4:$A$9, OFFSET(B203, 1, 0, 5-MOD(ROW()-6, 6)), '💳 Debt Input'!$D$4:$D$9)), 0))), 2))</f>
        <v>0</v>
      </c>
      <c r="F203" s="65">
        <f t="shared" ca="1" si="5"/>
        <v>0</v>
      </c>
      <c r="G203" s="25" t="str">
        <f t="shared" ref="G203:G266" ca="1" si="6">IF(F203=0,"Paid off","Active")</f>
        <v>Paid off</v>
      </c>
      <c r="H203" s="25"/>
    </row>
    <row r="204" spans="1:8" ht="18" customHeight="1" x14ac:dyDescent="0.35">
      <c r="A204" s="52"/>
      <c r="B204" s="26" t="str">
        <v>Medical Bill</v>
      </c>
      <c r="C204" s="66">
        <f ca="1"/>
        <v>0</v>
      </c>
      <c r="D204" s="66">
        <f ca="1">IF(B204="","", ROUND(C204 * (VLOOKUP(B204, '💳 Debt Input'!$A$4:$G$9, 3, FALSE) / 12), 2))</f>
        <v>0</v>
      </c>
      <c r="E204" s="66" cm="1">
        <f t="array" aca="1" ref="E204" ca="1">IF(B204="","", ROUND(MIN(C204+D204, MAX(VLOOKUP(B204,'💳 Debt Input'!$A$4:$G$9,4,FALSE), $F$3 - IFERROR(SUM(OFFSET(E204, -MOD(ROW()-6, 6), 0, MOD(ROW()-6, 6))), 0) - IFERROR(SUM(SUMIF('💳 Debt Input'!$A$4:$A$9, OFFSET(B204, 1, 0, 5-MOD(ROW()-6, 6)), '💳 Debt Input'!$D$4:$D$9)), 0))), 2))</f>
        <v>0</v>
      </c>
      <c r="F204" s="66">
        <f t="shared" ref="F204:F267" ca="1" si="7">ROUND(MAX(0,C204+D204-E204),2)</f>
        <v>0</v>
      </c>
      <c r="G204" s="28" t="str">
        <f t="shared" ca="1" si="6"/>
        <v>Paid off</v>
      </c>
      <c r="H204" s="28"/>
    </row>
    <row r="205" spans="1:8" ht="18" customHeight="1" x14ac:dyDescent="0.35">
      <c r="A205" s="52"/>
      <c r="B205" s="26" t="str">
        <v>Personal Loan</v>
      </c>
      <c r="C205" s="66">
        <f ca="1"/>
        <v>0</v>
      </c>
      <c r="D205" s="66">
        <f ca="1">IF(B205="","", ROUND(C205 * (VLOOKUP(B205, '💳 Debt Input'!$A$4:$G$9, 3, FALSE) / 12), 2))</f>
        <v>0</v>
      </c>
      <c r="E205" s="66" cm="1">
        <f t="array" aca="1" ref="E205" ca="1">IF(B205="","", ROUND(MIN(C205+D205, MAX(VLOOKUP(B205,'💳 Debt Input'!$A$4:$G$9,4,FALSE), $F$3 - IFERROR(SUM(OFFSET(E205, -MOD(ROW()-6, 6), 0, MOD(ROW()-6, 6))), 0) - IFERROR(SUM(SUMIF('💳 Debt Input'!$A$4:$A$9, OFFSET(B205, 1, 0, 5-MOD(ROW()-6, 6)), '💳 Debt Input'!$D$4:$D$9)), 0))), 2))</f>
        <v>0</v>
      </c>
      <c r="F205" s="66">
        <f t="shared" ca="1" si="7"/>
        <v>0</v>
      </c>
      <c r="G205" s="28" t="str">
        <f t="shared" ca="1" si="6"/>
        <v>Paid off</v>
      </c>
      <c r="H205" s="28"/>
    </row>
    <row r="206" spans="1:8" ht="18" customHeight="1" x14ac:dyDescent="0.35">
      <c r="A206" s="47"/>
      <c r="B206" s="8" t="str">
        <v>Auto Loan</v>
      </c>
      <c r="C206" s="61">
        <f ca="1"/>
        <v>0</v>
      </c>
      <c r="D206" s="61">
        <f ca="1">IF(B206="","", ROUND(C206 * (VLOOKUP(B206, '💳 Debt Input'!$A$4:$G$9, 3, FALSE) / 12), 2))</f>
        <v>0</v>
      </c>
      <c r="E206" s="61" cm="1">
        <f t="array" aca="1" ref="E206" ca="1">IF(B206="","", ROUND(MIN(C206+D206, MAX(VLOOKUP(B206,'💳 Debt Input'!$A$4:$G$9,4,FALSE), $F$3 - IFERROR(SUM(OFFSET(E206, -MOD(ROW()-6, 6), 0, MOD(ROW()-6, 6))), 0) - IFERROR(SUM(SUMIF('💳 Debt Input'!$A$4:$A$9, OFFSET(B206, 1, 0, 5-MOD(ROW()-6, 6)), '💳 Debt Input'!$D$4:$D$9)), 0))), 2))</f>
        <v>0</v>
      </c>
      <c r="F206" s="61">
        <f t="shared" ca="1" si="7"/>
        <v>0</v>
      </c>
      <c r="G206" s="19" t="str">
        <f t="shared" ca="1" si="6"/>
        <v>Paid off</v>
      </c>
      <c r="H206" s="19"/>
    </row>
    <row r="207" spans="1:8" ht="18" customHeight="1" x14ac:dyDescent="0.35">
      <c r="A207" s="47"/>
      <c r="B207" s="8" t="str">
        <v>Travel Card</v>
      </c>
      <c r="C207" s="61">
        <f ca="1"/>
        <v>2663.19</v>
      </c>
      <c r="D207" s="61">
        <f ca="1">IF(B207="","", ROUND(C207 * (VLOOKUP(B207, '💳 Debt Input'!$A$4:$G$9, 3, FALSE) / 12), 2))</f>
        <v>39.950000000000003</v>
      </c>
      <c r="E207" s="61" cm="1">
        <f t="array" aca="1" ref="E207" ca="1">IF(B207="","", ROUND(MIN(C207+D207, MAX(VLOOKUP(B207,'💳 Debt Input'!$A$4:$G$9,4,FALSE), $F$3 - IFERROR(SUM(OFFSET(E207, -MOD(ROW()-6, 6), 0, MOD(ROW()-6, 6))), 0) - IFERROR(SUM(SUMIF('💳 Debt Input'!$A$4:$A$9, OFFSET(B207, 1, 0, 5-MOD(ROW()-6, 6)), '💳 Debt Input'!$D$4:$D$9)), 0))), 2))</f>
        <v>505</v>
      </c>
      <c r="F207" s="61">
        <f t="shared" ca="1" si="7"/>
        <v>2198.14</v>
      </c>
      <c r="G207" s="19" t="str">
        <f t="shared" ca="1" si="6"/>
        <v>Active</v>
      </c>
      <c r="H207" s="19"/>
    </row>
    <row r="208" spans="1:8" ht="18" customHeight="1" x14ac:dyDescent="0.35">
      <c r="A208" s="47"/>
      <c r="B208" s="8" t="str">
        <v>Rewards Visa</v>
      </c>
      <c r="C208" s="61">
        <f ca="1"/>
        <v>16000</v>
      </c>
      <c r="D208" s="61">
        <f ca="1">IF(B208="","", ROUND(C208 * (VLOOKUP(B208, '💳 Debt Input'!$A$4:$G$9, 3, FALSE) / 12), 2))</f>
        <v>480</v>
      </c>
      <c r="E208" s="61" cm="1">
        <f t="array" aca="1" ref="E208" ca="1">IF(B208="","", ROUND(MIN(C208+D208, MAX(VLOOKUP(B208,'💳 Debt Input'!$A$4:$G$9,4,FALSE), $F$3 - IFERROR(SUM(OFFSET(E208, -MOD(ROW()-6, 6), 0, MOD(ROW()-6, 6))), 0) - IFERROR(SUM(SUMIF('💳 Debt Input'!$A$4:$A$9, OFFSET(B208, 1, 0, 5-MOD(ROW()-6, 6)), '💳 Debt Input'!$D$4:$D$9)), 0))), 2))</f>
        <v>480</v>
      </c>
      <c r="F208" s="61">
        <f t="shared" ca="1" si="7"/>
        <v>16000</v>
      </c>
      <c r="G208" s="19" t="str">
        <f t="shared" ca="1" si="6"/>
        <v>Active</v>
      </c>
      <c r="H208" s="19"/>
    </row>
    <row r="209" spans="1:8" ht="18" customHeight="1" x14ac:dyDescent="0.35">
      <c r="A209" s="51">
        <v>34</v>
      </c>
      <c r="B209" s="56" t="str" cm="1">
        <f t="array" ref="B209:B214">B203:B208</f>
        <v>Store Card</v>
      </c>
      <c r="C209" s="65" cm="1">
        <f t="array" aca="1" ref="C209:C214" ca="1">F203:F208</f>
        <v>0</v>
      </c>
      <c r="D209" s="65">
        <f ca="1">IF(B209="","", ROUND(C209 * (VLOOKUP(B209, '💳 Debt Input'!$A$4:$G$9, 3, FALSE) / 12), 2))</f>
        <v>0</v>
      </c>
      <c r="E209" s="65" cm="1">
        <f t="array" aca="1" ref="E209" ca="1">IF(B209="","", ROUND(MIN(C209+D209, MAX(VLOOKUP(B209,'💳 Debt Input'!$A$4:$G$9,4,FALSE), $F$3 - IFERROR(SUM(OFFSET(E209, -MOD(ROW()-6, 6), 0, MOD(ROW()-6, 6))), 0) - IFERROR(SUM(SUMIF('💳 Debt Input'!$A$4:$A$9, OFFSET(B209, 1, 0, 5-MOD(ROW()-6, 6)), '💳 Debt Input'!$D$4:$D$9)), 0))), 2))</f>
        <v>0</v>
      </c>
      <c r="F209" s="65">
        <f t="shared" ca="1" si="7"/>
        <v>0</v>
      </c>
      <c r="G209" s="25" t="str">
        <f t="shared" ca="1" si="6"/>
        <v>Paid off</v>
      </c>
      <c r="H209" s="25"/>
    </row>
    <row r="210" spans="1:8" ht="18" customHeight="1" x14ac:dyDescent="0.35">
      <c r="A210" s="52"/>
      <c r="B210" s="26" t="str">
        <v>Medical Bill</v>
      </c>
      <c r="C210" s="66">
        <f ca="1"/>
        <v>0</v>
      </c>
      <c r="D210" s="66">
        <f ca="1">IF(B210="","", ROUND(C210 * (VLOOKUP(B210, '💳 Debt Input'!$A$4:$G$9, 3, FALSE) / 12), 2))</f>
        <v>0</v>
      </c>
      <c r="E210" s="66" cm="1">
        <f t="array" aca="1" ref="E210" ca="1">IF(B210="","", ROUND(MIN(C210+D210, MAX(VLOOKUP(B210,'💳 Debt Input'!$A$4:$G$9,4,FALSE), $F$3 - IFERROR(SUM(OFFSET(E210, -MOD(ROW()-6, 6), 0, MOD(ROW()-6, 6))), 0) - IFERROR(SUM(SUMIF('💳 Debt Input'!$A$4:$A$9, OFFSET(B210, 1, 0, 5-MOD(ROW()-6, 6)), '💳 Debt Input'!$D$4:$D$9)), 0))), 2))</f>
        <v>0</v>
      </c>
      <c r="F210" s="66">
        <f t="shared" ca="1" si="7"/>
        <v>0</v>
      </c>
      <c r="G210" s="28" t="str">
        <f t="shared" ca="1" si="6"/>
        <v>Paid off</v>
      </c>
      <c r="H210" s="28"/>
    </row>
    <row r="211" spans="1:8" ht="18" customHeight="1" x14ac:dyDescent="0.35">
      <c r="A211" s="52"/>
      <c r="B211" s="26" t="str">
        <v>Personal Loan</v>
      </c>
      <c r="C211" s="66">
        <f ca="1"/>
        <v>0</v>
      </c>
      <c r="D211" s="66">
        <f ca="1">IF(B211="","", ROUND(C211 * (VLOOKUP(B211, '💳 Debt Input'!$A$4:$G$9, 3, FALSE) / 12), 2))</f>
        <v>0</v>
      </c>
      <c r="E211" s="66" cm="1">
        <f t="array" aca="1" ref="E211" ca="1">IF(B211="","", ROUND(MIN(C211+D211, MAX(VLOOKUP(B211,'💳 Debt Input'!$A$4:$G$9,4,FALSE), $F$3 - IFERROR(SUM(OFFSET(E211, -MOD(ROW()-6, 6), 0, MOD(ROW()-6, 6))), 0) - IFERROR(SUM(SUMIF('💳 Debt Input'!$A$4:$A$9, OFFSET(B211, 1, 0, 5-MOD(ROW()-6, 6)), '💳 Debt Input'!$D$4:$D$9)), 0))), 2))</f>
        <v>0</v>
      </c>
      <c r="F211" s="66">
        <f t="shared" ca="1" si="7"/>
        <v>0</v>
      </c>
      <c r="G211" s="28" t="str">
        <f t="shared" ca="1" si="6"/>
        <v>Paid off</v>
      </c>
      <c r="H211" s="28"/>
    </row>
    <row r="212" spans="1:8" ht="18" customHeight="1" x14ac:dyDescent="0.35">
      <c r="A212" s="52"/>
      <c r="B212" s="26" t="str">
        <v>Auto Loan</v>
      </c>
      <c r="C212" s="66">
        <f ca="1"/>
        <v>0</v>
      </c>
      <c r="D212" s="66">
        <f ca="1">IF(B212="","", ROUND(C212 * (VLOOKUP(B212, '💳 Debt Input'!$A$4:$G$9, 3, FALSE) / 12), 2))</f>
        <v>0</v>
      </c>
      <c r="E212" s="66" cm="1">
        <f t="array" aca="1" ref="E212" ca="1">IF(B212="","", ROUND(MIN(C212+D212, MAX(VLOOKUP(B212,'💳 Debt Input'!$A$4:$G$9,4,FALSE), $F$3 - IFERROR(SUM(OFFSET(E212, -MOD(ROW()-6, 6), 0, MOD(ROW()-6, 6))), 0) - IFERROR(SUM(SUMIF('💳 Debt Input'!$A$4:$A$9, OFFSET(B212, 1, 0, 5-MOD(ROW()-6, 6)), '💳 Debt Input'!$D$4:$D$9)), 0))), 2))</f>
        <v>0</v>
      </c>
      <c r="F212" s="66">
        <f t="shared" ca="1" si="7"/>
        <v>0</v>
      </c>
      <c r="G212" s="28" t="str">
        <f t="shared" ca="1" si="6"/>
        <v>Paid off</v>
      </c>
      <c r="H212" s="28"/>
    </row>
    <row r="213" spans="1:8" ht="18" customHeight="1" x14ac:dyDescent="0.35">
      <c r="A213" s="49"/>
      <c r="B213" s="6" t="str">
        <v>Travel Card</v>
      </c>
      <c r="C213" s="63">
        <f ca="1"/>
        <v>2198.14</v>
      </c>
      <c r="D213" s="63">
        <f ca="1">IF(B213="","", ROUND(C213 * (VLOOKUP(B213, '💳 Debt Input'!$A$4:$G$9, 3, FALSE) / 12), 2))</f>
        <v>32.97</v>
      </c>
      <c r="E213" s="63" cm="1">
        <f t="array" aca="1" ref="E213" ca="1">IF(B213="","", ROUND(MIN(C213+D213, MAX(VLOOKUP(B213,'💳 Debt Input'!$A$4:$G$9,4,FALSE), $F$3 - IFERROR(SUM(OFFSET(E213, -MOD(ROW()-6, 6), 0, MOD(ROW()-6, 6))), 0) - IFERROR(SUM(SUMIF('💳 Debt Input'!$A$4:$A$9, OFFSET(B213, 1, 0, 5-MOD(ROW()-6, 6)), '💳 Debt Input'!$D$4:$D$9)), 0))), 2))</f>
        <v>505</v>
      </c>
      <c r="F213" s="63">
        <f t="shared" ca="1" si="7"/>
        <v>1726.11</v>
      </c>
      <c r="G213" s="22" t="str">
        <f t="shared" ca="1" si="6"/>
        <v>Active</v>
      </c>
      <c r="H213" s="22"/>
    </row>
    <row r="214" spans="1:8" ht="18" customHeight="1" x14ac:dyDescent="0.35">
      <c r="A214" s="49"/>
      <c r="B214" s="6" t="str">
        <v>Rewards Visa</v>
      </c>
      <c r="C214" s="63">
        <f ca="1"/>
        <v>16000</v>
      </c>
      <c r="D214" s="63">
        <f ca="1">IF(B214="","", ROUND(C214 * (VLOOKUP(B214, '💳 Debt Input'!$A$4:$G$9, 3, FALSE) / 12), 2))</f>
        <v>480</v>
      </c>
      <c r="E214" s="63" cm="1">
        <f t="array" aca="1" ref="E214" ca="1">IF(B214="","", ROUND(MIN(C214+D214, MAX(VLOOKUP(B214,'💳 Debt Input'!$A$4:$G$9,4,FALSE), $F$3 - IFERROR(SUM(OFFSET(E214, -MOD(ROW()-6, 6), 0, MOD(ROW()-6, 6))), 0) - IFERROR(SUM(SUMIF('💳 Debt Input'!$A$4:$A$9, OFFSET(B214, 1, 0, 5-MOD(ROW()-6, 6)), '💳 Debt Input'!$D$4:$D$9)), 0))), 2))</f>
        <v>480</v>
      </c>
      <c r="F214" s="63">
        <f t="shared" ca="1" si="7"/>
        <v>16000</v>
      </c>
      <c r="G214" s="22" t="str">
        <f t="shared" ca="1" si="6"/>
        <v>Active</v>
      </c>
      <c r="H214" s="22"/>
    </row>
    <row r="215" spans="1:8" ht="18" customHeight="1" x14ac:dyDescent="0.35">
      <c r="A215" s="51">
        <v>35</v>
      </c>
      <c r="B215" s="56" t="str" cm="1">
        <f t="array" ref="B215:B220">B209:B214</f>
        <v>Store Card</v>
      </c>
      <c r="C215" s="65" cm="1">
        <f t="array" aca="1" ref="C215:C220" ca="1">F209:F214</f>
        <v>0</v>
      </c>
      <c r="D215" s="65">
        <f ca="1">IF(B215="","", ROUND(C215 * (VLOOKUP(B215, '💳 Debt Input'!$A$4:$G$9, 3, FALSE) / 12), 2))</f>
        <v>0</v>
      </c>
      <c r="E215" s="65" cm="1">
        <f t="array" aca="1" ref="E215" ca="1">IF(B215="","", ROUND(MIN(C215+D215, MAX(VLOOKUP(B215,'💳 Debt Input'!$A$4:$G$9,4,FALSE), $F$3 - IFERROR(SUM(OFFSET(E215, -MOD(ROW()-6, 6), 0, MOD(ROW()-6, 6))), 0) - IFERROR(SUM(SUMIF('💳 Debt Input'!$A$4:$A$9, OFFSET(B215, 1, 0, 5-MOD(ROW()-6, 6)), '💳 Debt Input'!$D$4:$D$9)), 0))), 2))</f>
        <v>0</v>
      </c>
      <c r="F215" s="65">
        <f t="shared" ca="1" si="7"/>
        <v>0</v>
      </c>
      <c r="G215" s="25" t="str">
        <f t="shared" ca="1" si="6"/>
        <v>Paid off</v>
      </c>
      <c r="H215" s="25"/>
    </row>
    <row r="216" spans="1:8" ht="18" customHeight="1" x14ac:dyDescent="0.35">
      <c r="A216" s="52"/>
      <c r="B216" s="26" t="str">
        <v>Medical Bill</v>
      </c>
      <c r="C216" s="66">
        <f ca="1"/>
        <v>0</v>
      </c>
      <c r="D216" s="66">
        <f ca="1">IF(B216="","", ROUND(C216 * (VLOOKUP(B216, '💳 Debt Input'!$A$4:$G$9, 3, FALSE) / 12), 2))</f>
        <v>0</v>
      </c>
      <c r="E216" s="66" cm="1">
        <f t="array" aca="1" ref="E216" ca="1">IF(B216="","", ROUND(MIN(C216+D216, MAX(VLOOKUP(B216,'💳 Debt Input'!$A$4:$G$9,4,FALSE), $F$3 - IFERROR(SUM(OFFSET(E216, -MOD(ROW()-6, 6), 0, MOD(ROW()-6, 6))), 0) - IFERROR(SUM(SUMIF('💳 Debt Input'!$A$4:$A$9, OFFSET(B216, 1, 0, 5-MOD(ROW()-6, 6)), '💳 Debt Input'!$D$4:$D$9)), 0))), 2))</f>
        <v>0</v>
      </c>
      <c r="F216" s="66">
        <f t="shared" ca="1" si="7"/>
        <v>0</v>
      </c>
      <c r="G216" s="28" t="str">
        <f t="shared" ca="1" si="6"/>
        <v>Paid off</v>
      </c>
      <c r="H216" s="28"/>
    </row>
    <row r="217" spans="1:8" ht="18" customHeight="1" x14ac:dyDescent="0.35">
      <c r="A217" s="52"/>
      <c r="B217" s="26" t="str">
        <v>Personal Loan</v>
      </c>
      <c r="C217" s="66">
        <f ca="1"/>
        <v>0</v>
      </c>
      <c r="D217" s="66">
        <f ca="1">IF(B217="","", ROUND(C217 * (VLOOKUP(B217, '💳 Debt Input'!$A$4:$G$9, 3, FALSE) / 12), 2))</f>
        <v>0</v>
      </c>
      <c r="E217" s="66" cm="1">
        <f t="array" aca="1" ref="E217" ca="1">IF(B217="","", ROUND(MIN(C217+D217, MAX(VLOOKUP(B217,'💳 Debt Input'!$A$4:$G$9,4,FALSE), $F$3 - IFERROR(SUM(OFFSET(E217, -MOD(ROW()-6, 6), 0, MOD(ROW()-6, 6))), 0) - IFERROR(SUM(SUMIF('💳 Debt Input'!$A$4:$A$9, OFFSET(B217, 1, 0, 5-MOD(ROW()-6, 6)), '💳 Debt Input'!$D$4:$D$9)), 0))), 2))</f>
        <v>0</v>
      </c>
      <c r="F217" s="66">
        <f t="shared" ca="1" si="7"/>
        <v>0</v>
      </c>
      <c r="G217" s="28" t="str">
        <f t="shared" ca="1" si="6"/>
        <v>Paid off</v>
      </c>
      <c r="H217" s="28"/>
    </row>
    <row r="218" spans="1:8" ht="18" customHeight="1" x14ac:dyDescent="0.35">
      <c r="A218" s="52"/>
      <c r="B218" s="26" t="str">
        <v>Auto Loan</v>
      </c>
      <c r="C218" s="66">
        <f ca="1"/>
        <v>0</v>
      </c>
      <c r="D218" s="66">
        <f ca="1">IF(B218="","", ROUND(C218 * (VLOOKUP(B218, '💳 Debt Input'!$A$4:$G$9, 3, FALSE) / 12), 2))</f>
        <v>0</v>
      </c>
      <c r="E218" s="66" cm="1">
        <f t="array" aca="1" ref="E218" ca="1">IF(B218="","", ROUND(MIN(C218+D218, MAX(VLOOKUP(B218,'💳 Debt Input'!$A$4:$G$9,4,FALSE), $F$3 - IFERROR(SUM(OFFSET(E218, -MOD(ROW()-6, 6), 0, MOD(ROW()-6, 6))), 0) - IFERROR(SUM(SUMIF('💳 Debt Input'!$A$4:$A$9, OFFSET(B218, 1, 0, 5-MOD(ROW()-6, 6)), '💳 Debt Input'!$D$4:$D$9)), 0))), 2))</f>
        <v>0</v>
      </c>
      <c r="F218" s="66">
        <f t="shared" ca="1" si="7"/>
        <v>0</v>
      </c>
      <c r="G218" s="28" t="str">
        <f t="shared" ca="1" si="6"/>
        <v>Paid off</v>
      </c>
      <c r="H218" s="28"/>
    </row>
    <row r="219" spans="1:8" ht="18" customHeight="1" x14ac:dyDescent="0.35">
      <c r="A219" s="47"/>
      <c r="B219" s="8" t="str">
        <v>Travel Card</v>
      </c>
      <c r="C219" s="61">
        <f ca="1"/>
        <v>1726.11</v>
      </c>
      <c r="D219" s="61">
        <f ca="1">IF(B219="","", ROUND(C219 * (VLOOKUP(B219, '💳 Debt Input'!$A$4:$G$9, 3, FALSE) / 12), 2))</f>
        <v>25.89</v>
      </c>
      <c r="E219" s="61" cm="1">
        <f t="array" aca="1" ref="E219" ca="1">IF(B219="","", ROUND(MIN(C219+D219, MAX(VLOOKUP(B219,'💳 Debt Input'!$A$4:$G$9,4,FALSE), $F$3 - IFERROR(SUM(OFFSET(E219, -MOD(ROW()-6, 6), 0, MOD(ROW()-6, 6))), 0) - IFERROR(SUM(SUMIF('💳 Debt Input'!$A$4:$A$9, OFFSET(B219, 1, 0, 5-MOD(ROW()-6, 6)), '💳 Debt Input'!$D$4:$D$9)), 0))), 2))</f>
        <v>505</v>
      </c>
      <c r="F219" s="61">
        <f t="shared" ca="1" si="7"/>
        <v>1247</v>
      </c>
      <c r="G219" s="19" t="str">
        <f t="shared" ca="1" si="6"/>
        <v>Active</v>
      </c>
      <c r="H219" s="19"/>
    </row>
    <row r="220" spans="1:8" ht="18" customHeight="1" x14ac:dyDescent="0.35">
      <c r="A220" s="47"/>
      <c r="B220" s="8" t="str">
        <v>Rewards Visa</v>
      </c>
      <c r="C220" s="61">
        <f ca="1"/>
        <v>16000</v>
      </c>
      <c r="D220" s="61">
        <f ca="1">IF(B220="","", ROUND(C220 * (VLOOKUP(B220, '💳 Debt Input'!$A$4:$G$9, 3, FALSE) / 12), 2))</f>
        <v>480</v>
      </c>
      <c r="E220" s="61" cm="1">
        <f t="array" aca="1" ref="E220" ca="1">IF(B220="","", ROUND(MIN(C220+D220, MAX(VLOOKUP(B220,'💳 Debt Input'!$A$4:$G$9,4,FALSE), $F$3 - IFERROR(SUM(OFFSET(E220, -MOD(ROW()-6, 6), 0, MOD(ROW()-6, 6))), 0) - IFERROR(SUM(SUMIF('💳 Debt Input'!$A$4:$A$9, OFFSET(B220, 1, 0, 5-MOD(ROW()-6, 6)), '💳 Debt Input'!$D$4:$D$9)), 0))), 2))</f>
        <v>480</v>
      </c>
      <c r="F220" s="61">
        <f t="shared" ca="1" si="7"/>
        <v>16000</v>
      </c>
      <c r="G220" s="19" t="str">
        <f t="shared" ca="1" si="6"/>
        <v>Active</v>
      </c>
      <c r="H220" s="19"/>
    </row>
    <row r="221" spans="1:8" ht="18" customHeight="1" x14ac:dyDescent="0.35">
      <c r="A221" s="51">
        <v>36</v>
      </c>
      <c r="B221" s="56" t="str" cm="1">
        <f t="array" ref="B221:B226">B215:B220</f>
        <v>Store Card</v>
      </c>
      <c r="C221" s="65" cm="1">
        <f t="array" aca="1" ref="C221:C226" ca="1">F215:F220</f>
        <v>0</v>
      </c>
      <c r="D221" s="65">
        <f ca="1">IF(B221="","", ROUND(C221 * (VLOOKUP(B221, '💳 Debt Input'!$A$4:$G$9, 3, FALSE) / 12), 2))</f>
        <v>0</v>
      </c>
      <c r="E221" s="65" cm="1">
        <f t="array" aca="1" ref="E221" ca="1">IF(B221="","", ROUND(MIN(C221+D221, MAX(VLOOKUP(B221,'💳 Debt Input'!$A$4:$G$9,4,FALSE), $F$3 - IFERROR(SUM(OFFSET(E221, -MOD(ROW()-6, 6), 0, MOD(ROW()-6, 6))), 0) - IFERROR(SUM(SUMIF('💳 Debt Input'!$A$4:$A$9, OFFSET(B221, 1, 0, 5-MOD(ROW()-6, 6)), '💳 Debt Input'!$D$4:$D$9)), 0))), 2))</f>
        <v>0</v>
      </c>
      <c r="F221" s="65">
        <f t="shared" ca="1" si="7"/>
        <v>0</v>
      </c>
      <c r="G221" s="25" t="str">
        <f t="shared" ca="1" si="6"/>
        <v>Paid off</v>
      </c>
      <c r="H221" s="25"/>
    </row>
    <row r="222" spans="1:8" ht="18" customHeight="1" x14ac:dyDescent="0.35">
      <c r="A222" s="52"/>
      <c r="B222" s="26" t="str">
        <v>Medical Bill</v>
      </c>
      <c r="C222" s="66">
        <f ca="1"/>
        <v>0</v>
      </c>
      <c r="D222" s="66">
        <f ca="1">IF(B222="","", ROUND(C222 * (VLOOKUP(B222, '💳 Debt Input'!$A$4:$G$9, 3, FALSE) / 12), 2))</f>
        <v>0</v>
      </c>
      <c r="E222" s="66" cm="1">
        <f t="array" aca="1" ref="E222" ca="1">IF(B222="","", ROUND(MIN(C222+D222, MAX(VLOOKUP(B222,'💳 Debt Input'!$A$4:$G$9,4,FALSE), $F$3 - IFERROR(SUM(OFFSET(E222, -MOD(ROW()-6, 6), 0, MOD(ROW()-6, 6))), 0) - IFERROR(SUM(SUMIF('💳 Debt Input'!$A$4:$A$9, OFFSET(B222, 1, 0, 5-MOD(ROW()-6, 6)), '💳 Debt Input'!$D$4:$D$9)), 0))), 2))</f>
        <v>0</v>
      </c>
      <c r="F222" s="66">
        <f t="shared" ca="1" si="7"/>
        <v>0</v>
      </c>
      <c r="G222" s="28" t="str">
        <f t="shared" ca="1" si="6"/>
        <v>Paid off</v>
      </c>
      <c r="H222" s="28"/>
    </row>
    <row r="223" spans="1:8" ht="18" customHeight="1" x14ac:dyDescent="0.35">
      <c r="A223" s="52"/>
      <c r="B223" s="26" t="str">
        <v>Personal Loan</v>
      </c>
      <c r="C223" s="66">
        <f ca="1"/>
        <v>0</v>
      </c>
      <c r="D223" s="66">
        <f ca="1">IF(B223="","", ROUND(C223 * (VLOOKUP(B223, '💳 Debt Input'!$A$4:$G$9, 3, FALSE) / 12), 2))</f>
        <v>0</v>
      </c>
      <c r="E223" s="66" cm="1">
        <f t="array" aca="1" ref="E223" ca="1">IF(B223="","", ROUND(MIN(C223+D223, MAX(VLOOKUP(B223,'💳 Debt Input'!$A$4:$G$9,4,FALSE), $F$3 - IFERROR(SUM(OFFSET(E223, -MOD(ROW()-6, 6), 0, MOD(ROW()-6, 6))), 0) - IFERROR(SUM(SUMIF('💳 Debt Input'!$A$4:$A$9, OFFSET(B223, 1, 0, 5-MOD(ROW()-6, 6)), '💳 Debt Input'!$D$4:$D$9)), 0))), 2))</f>
        <v>0</v>
      </c>
      <c r="F223" s="66">
        <f t="shared" ca="1" si="7"/>
        <v>0</v>
      </c>
      <c r="G223" s="28" t="str">
        <f t="shared" ca="1" si="6"/>
        <v>Paid off</v>
      </c>
      <c r="H223" s="28"/>
    </row>
    <row r="224" spans="1:8" ht="18" customHeight="1" x14ac:dyDescent="0.35">
      <c r="A224" s="52"/>
      <c r="B224" s="26" t="str">
        <v>Auto Loan</v>
      </c>
      <c r="C224" s="66">
        <f ca="1"/>
        <v>0</v>
      </c>
      <c r="D224" s="66">
        <f ca="1">IF(B224="","", ROUND(C224 * (VLOOKUP(B224, '💳 Debt Input'!$A$4:$G$9, 3, FALSE) / 12), 2))</f>
        <v>0</v>
      </c>
      <c r="E224" s="66" cm="1">
        <f t="array" aca="1" ref="E224" ca="1">IF(B224="","", ROUND(MIN(C224+D224, MAX(VLOOKUP(B224,'💳 Debt Input'!$A$4:$G$9,4,FALSE), $F$3 - IFERROR(SUM(OFFSET(E224, -MOD(ROW()-6, 6), 0, MOD(ROW()-6, 6))), 0) - IFERROR(SUM(SUMIF('💳 Debt Input'!$A$4:$A$9, OFFSET(B224, 1, 0, 5-MOD(ROW()-6, 6)), '💳 Debt Input'!$D$4:$D$9)), 0))), 2))</f>
        <v>0</v>
      </c>
      <c r="F224" s="66">
        <f t="shared" ca="1" si="7"/>
        <v>0</v>
      </c>
      <c r="G224" s="28" t="str">
        <f t="shared" ca="1" si="6"/>
        <v>Paid off</v>
      </c>
      <c r="H224" s="28"/>
    </row>
    <row r="225" spans="1:8" ht="18" customHeight="1" x14ac:dyDescent="0.35">
      <c r="A225" s="49"/>
      <c r="B225" s="6" t="str">
        <v>Travel Card</v>
      </c>
      <c r="C225" s="63">
        <f ca="1"/>
        <v>1247</v>
      </c>
      <c r="D225" s="63">
        <f ca="1">IF(B225="","", ROUND(C225 * (VLOOKUP(B225, '💳 Debt Input'!$A$4:$G$9, 3, FALSE) / 12), 2))</f>
        <v>18.71</v>
      </c>
      <c r="E225" s="63" cm="1">
        <f t="array" aca="1" ref="E225" ca="1">IF(B225="","", ROUND(MIN(C225+D225, MAX(VLOOKUP(B225,'💳 Debt Input'!$A$4:$G$9,4,FALSE), $F$3 - IFERROR(SUM(OFFSET(E225, -MOD(ROW()-6, 6), 0, MOD(ROW()-6, 6))), 0) - IFERROR(SUM(SUMIF('💳 Debt Input'!$A$4:$A$9, OFFSET(B225, 1, 0, 5-MOD(ROW()-6, 6)), '💳 Debt Input'!$D$4:$D$9)), 0))), 2))</f>
        <v>505</v>
      </c>
      <c r="F225" s="63">
        <f t="shared" ca="1" si="7"/>
        <v>760.71</v>
      </c>
      <c r="G225" s="22" t="str">
        <f t="shared" ca="1" si="6"/>
        <v>Active</v>
      </c>
      <c r="H225" s="22"/>
    </row>
    <row r="226" spans="1:8" ht="18" customHeight="1" x14ac:dyDescent="0.35">
      <c r="A226" s="49"/>
      <c r="B226" s="6" t="str">
        <v>Rewards Visa</v>
      </c>
      <c r="C226" s="63">
        <f ca="1"/>
        <v>16000</v>
      </c>
      <c r="D226" s="63">
        <f ca="1">IF(B226="","", ROUND(C226 * (VLOOKUP(B226, '💳 Debt Input'!$A$4:$G$9, 3, FALSE) / 12), 2))</f>
        <v>480</v>
      </c>
      <c r="E226" s="63" cm="1">
        <f t="array" aca="1" ref="E226" ca="1">IF(B226="","", ROUND(MIN(C226+D226, MAX(VLOOKUP(B226,'💳 Debt Input'!$A$4:$G$9,4,FALSE), $F$3 - IFERROR(SUM(OFFSET(E226, -MOD(ROW()-6, 6), 0, MOD(ROW()-6, 6))), 0) - IFERROR(SUM(SUMIF('💳 Debt Input'!$A$4:$A$9, OFFSET(B226, 1, 0, 5-MOD(ROW()-6, 6)), '💳 Debt Input'!$D$4:$D$9)), 0))), 2))</f>
        <v>480</v>
      </c>
      <c r="F226" s="63">
        <f t="shared" ca="1" si="7"/>
        <v>16000</v>
      </c>
      <c r="G226" s="22" t="str">
        <f t="shared" ca="1" si="6"/>
        <v>Active</v>
      </c>
      <c r="H226" s="22"/>
    </row>
    <row r="227" spans="1:8" ht="18" customHeight="1" x14ac:dyDescent="0.35">
      <c r="A227" s="51">
        <v>37</v>
      </c>
      <c r="B227" s="56" t="str" cm="1">
        <f t="array" ref="B227:B232">B221:B226</f>
        <v>Store Card</v>
      </c>
      <c r="C227" s="65" cm="1">
        <f t="array" aca="1" ref="C227:C232" ca="1">F221:F226</f>
        <v>0</v>
      </c>
      <c r="D227" s="65">
        <f ca="1">IF(B227="","", ROUND(C227 * (VLOOKUP(B227, '💳 Debt Input'!$A$4:$G$9, 3, FALSE) / 12), 2))</f>
        <v>0</v>
      </c>
      <c r="E227" s="65" cm="1">
        <f t="array" aca="1" ref="E227" ca="1">IF(B227="","", ROUND(MIN(C227+D227, MAX(VLOOKUP(B227,'💳 Debt Input'!$A$4:$G$9,4,FALSE), $F$3 - IFERROR(SUM(OFFSET(E227, -MOD(ROW()-6, 6), 0, MOD(ROW()-6, 6))), 0) - IFERROR(SUM(SUMIF('💳 Debt Input'!$A$4:$A$9, OFFSET(B227, 1, 0, 5-MOD(ROW()-6, 6)), '💳 Debt Input'!$D$4:$D$9)), 0))), 2))</f>
        <v>0</v>
      </c>
      <c r="F227" s="65">
        <f t="shared" ca="1" si="7"/>
        <v>0</v>
      </c>
      <c r="G227" s="25" t="str">
        <f t="shared" ca="1" si="6"/>
        <v>Paid off</v>
      </c>
      <c r="H227" s="25"/>
    </row>
    <row r="228" spans="1:8" ht="18" customHeight="1" x14ac:dyDescent="0.35">
      <c r="A228" s="52"/>
      <c r="B228" s="26" t="str">
        <v>Medical Bill</v>
      </c>
      <c r="C228" s="66">
        <f ca="1"/>
        <v>0</v>
      </c>
      <c r="D228" s="66">
        <f ca="1">IF(B228="","", ROUND(C228 * (VLOOKUP(B228, '💳 Debt Input'!$A$4:$G$9, 3, FALSE) / 12), 2))</f>
        <v>0</v>
      </c>
      <c r="E228" s="66" cm="1">
        <f t="array" aca="1" ref="E228" ca="1">IF(B228="","", ROUND(MIN(C228+D228, MAX(VLOOKUP(B228,'💳 Debt Input'!$A$4:$G$9,4,FALSE), $F$3 - IFERROR(SUM(OFFSET(E228, -MOD(ROW()-6, 6), 0, MOD(ROW()-6, 6))), 0) - IFERROR(SUM(SUMIF('💳 Debt Input'!$A$4:$A$9, OFFSET(B228, 1, 0, 5-MOD(ROW()-6, 6)), '💳 Debt Input'!$D$4:$D$9)), 0))), 2))</f>
        <v>0</v>
      </c>
      <c r="F228" s="66">
        <f t="shared" ca="1" si="7"/>
        <v>0</v>
      </c>
      <c r="G228" s="28" t="str">
        <f t="shared" ca="1" si="6"/>
        <v>Paid off</v>
      </c>
      <c r="H228" s="28"/>
    </row>
    <row r="229" spans="1:8" ht="18" customHeight="1" x14ac:dyDescent="0.35">
      <c r="A229" s="52"/>
      <c r="B229" s="26" t="str">
        <v>Personal Loan</v>
      </c>
      <c r="C229" s="66">
        <f ca="1"/>
        <v>0</v>
      </c>
      <c r="D229" s="66">
        <f ca="1">IF(B229="","", ROUND(C229 * (VLOOKUP(B229, '💳 Debt Input'!$A$4:$G$9, 3, FALSE) / 12), 2))</f>
        <v>0</v>
      </c>
      <c r="E229" s="66" cm="1">
        <f t="array" aca="1" ref="E229" ca="1">IF(B229="","", ROUND(MIN(C229+D229, MAX(VLOOKUP(B229,'💳 Debt Input'!$A$4:$G$9,4,FALSE), $F$3 - IFERROR(SUM(OFFSET(E229, -MOD(ROW()-6, 6), 0, MOD(ROW()-6, 6))), 0) - IFERROR(SUM(SUMIF('💳 Debt Input'!$A$4:$A$9, OFFSET(B229, 1, 0, 5-MOD(ROW()-6, 6)), '💳 Debt Input'!$D$4:$D$9)), 0))), 2))</f>
        <v>0</v>
      </c>
      <c r="F229" s="66">
        <f t="shared" ca="1" si="7"/>
        <v>0</v>
      </c>
      <c r="G229" s="28" t="str">
        <f t="shared" ca="1" si="6"/>
        <v>Paid off</v>
      </c>
      <c r="H229" s="28"/>
    </row>
    <row r="230" spans="1:8" ht="18" customHeight="1" x14ac:dyDescent="0.35">
      <c r="A230" s="52"/>
      <c r="B230" s="26" t="str">
        <v>Auto Loan</v>
      </c>
      <c r="C230" s="66">
        <f ca="1"/>
        <v>0</v>
      </c>
      <c r="D230" s="66">
        <f ca="1">IF(B230="","", ROUND(C230 * (VLOOKUP(B230, '💳 Debt Input'!$A$4:$G$9, 3, FALSE) / 12), 2))</f>
        <v>0</v>
      </c>
      <c r="E230" s="66" cm="1">
        <f t="array" aca="1" ref="E230" ca="1">IF(B230="","", ROUND(MIN(C230+D230, MAX(VLOOKUP(B230,'💳 Debt Input'!$A$4:$G$9,4,FALSE), $F$3 - IFERROR(SUM(OFFSET(E230, -MOD(ROW()-6, 6), 0, MOD(ROW()-6, 6))), 0) - IFERROR(SUM(SUMIF('💳 Debt Input'!$A$4:$A$9, OFFSET(B230, 1, 0, 5-MOD(ROW()-6, 6)), '💳 Debt Input'!$D$4:$D$9)), 0))), 2))</f>
        <v>0</v>
      </c>
      <c r="F230" s="66">
        <f t="shared" ca="1" si="7"/>
        <v>0</v>
      </c>
      <c r="G230" s="28" t="str">
        <f t="shared" ca="1" si="6"/>
        <v>Paid off</v>
      </c>
      <c r="H230" s="28"/>
    </row>
    <row r="231" spans="1:8" ht="18" customHeight="1" x14ac:dyDescent="0.35">
      <c r="A231" s="47"/>
      <c r="B231" s="8" t="str">
        <v>Travel Card</v>
      </c>
      <c r="C231" s="61">
        <f ca="1"/>
        <v>760.71</v>
      </c>
      <c r="D231" s="61">
        <f ca="1">IF(B231="","", ROUND(C231 * (VLOOKUP(B231, '💳 Debt Input'!$A$4:$G$9, 3, FALSE) / 12), 2))</f>
        <v>11.41</v>
      </c>
      <c r="E231" s="61" cm="1">
        <f t="array" aca="1" ref="E231" ca="1">IF(B231="","", ROUND(MIN(C231+D231, MAX(VLOOKUP(B231,'💳 Debt Input'!$A$4:$G$9,4,FALSE), $F$3 - IFERROR(SUM(OFFSET(E231, -MOD(ROW()-6, 6), 0, MOD(ROW()-6, 6))), 0) - IFERROR(SUM(SUMIF('💳 Debt Input'!$A$4:$A$9, OFFSET(B231, 1, 0, 5-MOD(ROW()-6, 6)), '💳 Debt Input'!$D$4:$D$9)), 0))), 2))</f>
        <v>505</v>
      </c>
      <c r="F231" s="61">
        <f t="shared" ca="1" si="7"/>
        <v>267.12</v>
      </c>
      <c r="G231" s="19" t="str">
        <f t="shared" ca="1" si="6"/>
        <v>Active</v>
      </c>
      <c r="H231" s="19"/>
    </row>
    <row r="232" spans="1:8" ht="18" customHeight="1" x14ac:dyDescent="0.35">
      <c r="A232" s="47"/>
      <c r="B232" s="8" t="str">
        <v>Rewards Visa</v>
      </c>
      <c r="C232" s="61">
        <f ca="1"/>
        <v>16000</v>
      </c>
      <c r="D232" s="61">
        <f ca="1">IF(B232="","", ROUND(C232 * (VLOOKUP(B232, '💳 Debt Input'!$A$4:$G$9, 3, FALSE) / 12), 2))</f>
        <v>480</v>
      </c>
      <c r="E232" s="61" cm="1">
        <f t="array" aca="1" ref="E232" ca="1">IF(B232="","", ROUND(MIN(C232+D232, MAX(VLOOKUP(B232,'💳 Debt Input'!$A$4:$G$9,4,FALSE), $F$3 - IFERROR(SUM(OFFSET(E232, -MOD(ROW()-6, 6), 0, MOD(ROW()-6, 6))), 0) - IFERROR(SUM(SUMIF('💳 Debt Input'!$A$4:$A$9, OFFSET(B232, 1, 0, 5-MOD(ROW()-6, 6)), '💳 Debt Input'!$D$4:$D$9)), 0))), 2))</f>
        <v>480</v>
      </c>
      <c r="F232" s="61">
        <f t="shared" ca="1" si="7"/>
        <v>16000</v>
      </c>
      <c r="G232" s="19" t="str">
        <f t="shared" ca="1" si="6"/>
        <v>Active</v>
      </c>
      <c r="H232" s="19"/>
    </row>
    <row r="233" spans="1:8" ht="18" customHeight="1" x14ac:dyDescent="0.35">
      <c r="A233" s="51">
        <v>38</v>
      </c>
      <c r="B233" s="56" t="str" cm="1">
        <f t="array" ref="B233:B238">B227:B232</f>
        <v>Store Card</v>
      </c>
      <c r="C233" s="65" cm="1">
        <f t="array" aca="1" ref="C233:C238" ca="1">F227:F232</f>
        <v>0</v>
      </c>
      <c r="D233" s="65">
        <f ca="1">IF(B233="","", ROUND(C233 * (VLOOKUP(B233, '💳 Debt Input'!$A$4:$G$9, 3, FALSE) / 12), 2))</f>
        <v>0</v>
      </c>
      <c r="E233" s="65" cm="1">
        <f t="array" aca="1" ref="E233" ca="1">IF(B233="","", ROUND(MIN(C233+D233, MAX(VLOOKUP(B233,'💳 Debt Input'!$A$4:$G$9,4,FALSE), $F$3 - IFERROR(SUM(OFFSET(E233, -MOD(ROW()-6, 6), 0, MOD(ROW()-6, 6))), 0) - IFERROR(SUM(SUMIF('💳 Debt Input'!$A$4:$A$9, OFFSET(B233, 1, 0, 5-MOD(ROW()-6, 6)), '💳 Debt Input'!$D$4:$D$9)), 0))), 2))</f>
        <v>0</v>
      </c>
      <c r="F233" s="65">
        <f t="shared" ca="1" si="7"/>
        <v>0</v>
      </c>
      <c r="G233" s="25" t="str">
        <f t="shared" ca="1" si="6"/>
        <v>Paid off</v>
      </c>
      <c r="H233" s="25"/>
    </row>
    <row r="234" spans="1:8" ht="18" customHeight="1" x14ac:dyDescent="0.35">
      <c r="A234" s="52"/>
      <c r="B234" s="26" t="str">
        <v>Medical Bill</v>
      </c>
      <c r="C234" s="66">
        <f ca="1"/>
        <v>0</v>
      </c>
      <c r="D234" s="66">
        <f ca="1">IF(B234="","", ROUND(C234 * (VLOOKUP(B234, '💳 Debt Input'!$A$4:$G$9, 3, FALSE) / 12), 2))</f>
        <v>0</v>
      </c>
      <c r="E234" s="66" cm="1">
        <f t="array" aca="1" ref="E234" ca="1">IF(B234="","", ROUND(MIN(C234+D234, MAX(VLOOKUP(B234,'💳 Debt Input'!$A$4:$G$9,4,FALSE), $F$3 - IFERROR(SUM(OFFSET(E234, -MOD(ROW()-6, 6), 0, MOD(ROW()-6, 6))), 0) - IFERROR(SUM(SUMIF('💳 Debt Input'!$A$4:$A$9, OFFSET(B234, 1, 0, 5-MOD(ROW()-6, 6)), '💳 Debt Input'!$D$4:$D$9)), 0))), 2))</f>
        <v>0</v>
      </c>
      <c r="F234" s="66">
        <f t="shared" ca="1" si="7"/>
        <v>0</v>
      </c>
      <c r="G234" s="28" t="str">
        <f t="shared" ca="1" si="6"/>
        <v>Paid off</v>
      </c>
      <c r="H234" s="28"/>
    </row>
    <row r="235" spans="1:8" ht="18" customHeight="1" x14ac:dyDescent="0.35">
      <c r="A235" s="52"/>
      <c r="B235" s="26" t="str">
        <v>Personal Loan</v>
      </c>
      <c r="C235" s="66">
        <f ca="1"/>
        <v>0</v>
      </c>
      <c r="D235" s="66">
        <f ca="1">IF(B235="","", ROUND(C235 * (VLOOKUP(B235, '💳 Debt Input'!$A$4:$G$9, 3, FALSE) / 12), 2))</f>
        <v>0</v>
      </c>
      <c r="E235" s="66" cm="1">
        <f t="array" aca="1" ref="E235" ca="1">IF(B235="","", ROUND(MIN(C235+D235, MAX(VLOOKUP(B235,'💳 Debt Input'!$A$4:$G$9,4,FALSE), $F$3 - IFERROR(SUM(OFFSET(E235, -MOD(ROW()-6, 6), 0, MOD(ROW()-6, 6))), 0) - IFERROR(SUM(SUMIF('💳 Debt Input'!$A$4:$A$9, OFFSET(B235, 1, 0, 5-MOD(ROW()-6, 6)), '💳 Debt Input'!$D$4:$D$9)), 0))), 2))</f>
        <v>0</v>
      </c>
      <c r="F235" s="66">
        <f t="shared" ca="1" si="7"/>
        <v>0</v>
      </c>
      <c r="G235" s="28" t="str">
        <f t="shared" ca="1" si="6"/>
        <v>Paid off</v>
      </c>
      <c r="H235" s="28"/>
    </row>
    <row r="236" spans="1:8" ht="18" customHeight="1" x14ac:dyDescent="0.35">
      <c r="A236" s="52"/>
      <c r="B236" s="26" t="str">
        <v>Auto Loan</v>
      </c>
      <c r="C236" s="66">
        <f ca="1"/>
        <v>0</v>
      </c>
      <c r="D236" s="66">
        <f ca="1">IF(B236="","", ROUND(C236 * (VLOOKUP(B236, '💳 Debt Input'!$A$4:$G$9, 3, FALSE) / 12), 2))</f>
        <v>0</v>
      </c>
      <c r="E236" s="66" cm="1">
        <f t="array" aca="1" ref="E236" ca="1">IF(B236="","", ROUND(MIN(C236+D236, MAX(VLOOKUP(B236,'💳 Debt Input'!$A$4:$G$9,4,FALSE), $F$3 - IFERROR(SUM(OFFSET(E236, -MOD(ROW()-6, 6), 0, MOD(ROW()-6, 6))), 0) - IFERROR(SUM(SUMIF('💳 Debt Input'!$A$4:$A$9, OFFSET(B236, 1, 0, 5-MOD(ROW()-6, 6)), '💳 Debt Input'!$D$4:$D$9)), 0))), 2))</f>
        <v>0</v>
      </c>
      <c r="F236" s="66">
        <f t="shared" ca="1" si="7"/>
        <v>0</v>
      </c>
      <c r="G236" s="28" t="str">
        <f t="shared" ca="1" si="6"/>
        <v>Paid off</v>
      </c>
      <c r="H236" s="28"/>
    </row>
    <row r="237" spans="1:8" ht="18" customHeight="1" x14ac:dyDescent="0.35">
      <c r="A237" s="49"/>
      <c r="B237" s="6" t="str">
        <v>Travel Card</v>
      </c>
      <c r="C237" s="63">
        <f ca="1"/>
        <v>267.12</v>
      </c>
      <c r="D237" s="63">
        <f ca="1">IF(B237="","", ROUND(C237 * (VLOOKUP(B237, '💳 Debt Input'!$A$4:$G$9, 3, FALSE) / 12), 2))</f>
        <v>4.01</v>
      </c>
      <c r="E237" s="63" cm="1">
        <f t="array" aca="1" ref="E237" ca="1">IF(B237="","", ROUND(MIN(C237+D237, MAX(VLOOKUP(B237,'💳 Debt Input'!$A$4:$G$9,4,FALSE), $F$3 - IFERROR(SUM(OFFSET(E237, -MOD(ROW()-6, 6), 0, MOD(ROW()-6, 6))), 0) - IFERROR(SUM(SUMIF('💳 Debt Input'!$A$4:$A$9, OFFSET(B237, 1, 0, 5-MOD(ROW()-6, 6)), '💳 Debt Input'!$D$4:$D$9)), 0))), 2))</f>
        <v>271.13</v>
      </c>
      <c r="F237" s="63">
        <f t="shared" ca="1" si="7"/>
        <v>0</v>
      </c>
      <c r="G237" s="22" t="str">
        <f t="shared" ca="1" si="6"/>
        <v>Paid off</v>
      </c>
      <c r="H237" s="22"/>
    </row>
    <row r="238" spans="1:8" ht="18" customHeight="1" x14ac:dyDescent="0.35">
      <c r="A238" s="49"/>
      <c r="B238" s="6" t="str">
        <v>Rewards Visa</v>
      </c>
      <c r="C238" s="63">
        <f ca="1"/>
        <v>16000</v>
      </c>
      <c r="D238" s="63">
        <f ca="1">IF(B238="","", ROUND(C238 * (VLOOKUP(B238, '💳 Debt Input'!$A$4:$G$9, 3, FALSE) / 12), 2))</f>
        <v>480</v>
      </c>
      <c r="E238" s="63" cm="1">
        <f t="array" aca="1" ref="E238" ca="1">IF(B238="","", ROUND(MIN(C238+D238, MAX(VLOOKUP(B238,'💳 Debt Input'!$A$4:$G$9,4,FALSE), $F$3 - IFERROR(SUM(OFFSET(E238, -MOD(ROW()-6, 6), 0, MOD(ROW()-6, 6))), 0) - IFERROR(SUM(SUMIF('💳 Debt Input'!$A$4:$A$9, OFFSET(B238, 1, 0, 5-MOD(ROW()-6, 6)), '💳 Debt Input'!$D$4:$D$9)), 0))), 2))</f>
        <v>713.87</v>
      </c>
      <c r="F238" s="63">
        <f t="shared" ca="1" si="7"/>
        <v>15766.13</v>
      </c>
      <c r="G238" s="22" t="str">
        <f t="shared" ca="1" si="6"/>
        <v>Active</v>
      </c>
      <c r="H238" s="22"/>
    </row>
    <row r="239" spans="1:8" ht="18" customHeight="1" x14ac:dyDescent="0.35">
      <c r="A239" s="51">
        <v>39</v>
      </c>
      <c r="B239" s="56" t="str" cm="1">
        <f t="array" ref="B239:B244">B233:B238</f>
        <v>Store Card</v>
      </c>
      <c r="C239" s="65" cm="1">
        <f t="array" aca="1" ref="C239:C244" ca="1">F233:F238</f>
        <v>0</v>
      </c>
      <c r="D239" s="65">
        <f ca="1">IF(B239="","", ROUND(C239 * (VLOOKUP(B239, '💳 Debt Input'!$A$4:$G$9, 3, FALSE) / 12), 2))</f>
        <v>0</v>
      </c>
      <c r="E239" s="65" cm="1">
        <f t="array" aca="1" ref="E239" ca="1">IF(B239="","", ROUND(MIN(C239+D239, MAX(VLOOKUP(B239,'💳 Debt Input'!$A$4:$G$9,4,FALSE), $F$3 - IFERROR(SUM(OFFSET(E239, -MOD(ROW()-6, 6), 0, MOD(ROW()-6, 6))), 0) - IFERROR(SUM(SUMIF('💳 Debt Input'!$A$4:$A$9, OFFSET(B239, 1, 0, 5-MOD(ROW()-6, 6)), '💳 Debt Input'!$D$4:$D$9)), 0))), 2))</f>
        <v>0</v>
      </c>
      <c r="F239" s="65">
        <f t="shared" ca="1" si="7"/>
        <v>0</v>
      </c>
      <c r="G239" s="25" t="str">
        <f t="shared" ca="1" si="6"/>
        <v>Paid off</v>
      </c>
      <c r="H239" s="25"/>
    </row>
    <row r="240" spans="1:8" ht="18" customHeight="1" x14ac:dyDescent="0.35">
      <c r="A240" s="52"/>
      <c r="B240" s="26" t="str">
        <v>Medical Bill</v>
      </c>
      <c r="C240" s="66">
        <f ca="1"/>
        <v>0</v>
      </c>
      <c r="D240" s="66">
        <f ca="1">IF(B240="","", ROUND(C240 * (VLOOKUP(B240, '💳 Debt Input'!$A$4:$G$9, 3, FALSE) / 12), 2))</f>
        <v>0</v>
      </c>
      <c r="E240" s="66" cm="1">
        <f t="array" aca="1" ref="E240" ca="1">IF(B240="","", ROUND(MIN(C240+D240, MAX(VLOOKUP(B240,'💳 Debt Input'!$A$4:$G$9,4,FALSE), $F$3 - IFERROR(SUM(OFFSET(E240, -MOD(ROW()-6, 6), 0, MOD(ROW()-6, 6))), 0) - IFERROR(SUM(SUMIF('💳 Debt Input'!$A$4:$A$9, OFFSET(B240, 1, 0, 5-MOD(ROW()-6, 6)), '💳 Debt Input'!$D$4:$D$9)), 0))), 2))</f>
        <v>0</v>
      </c>
      <c r="F240" s="66">
        <f t="shared" ca="1" si="7"/>
        <v>0</v>
      </c>
      <c r="G240" s="28" t="str">
        <f t="shared" ca="1" si="6"/>
        <v>Paid off</v>
      </c>
      <c r="H240" s="28"/>
    </row>
    <row r="241" spans="1:8" ht="18" customHeight="1" x14ac:dyDescent="0.35">
      <c r="A241" s="52"/>
      <c r="B241" s="26" t="str">
        <v>Personal Loan</v>
      </c>
      <c r="C241" s="66">
        <f ca="1"/>
        <v>0</v>
      </c>
      <c r="D241" s="66">
        <f ca="1">IF(B241="","", ROUND(C241 * (VLOOKUP(B241, '💳 Debt Input'!$A$4:$G$9, 3, FALSE) / 12), 2))</f>
        <v>0</v>
      </c>
      <c r="E241" s="66" cm="1">
        <f t="array" aca="1" ref="E241" ca="1">IF(B241="","", ROUND(MIN(C241+D241, MAX(VLOOKUP(B241,'💳 Debt Input'!$A$4:$G$9,4,FALSE), $F$3 - IFERROR(SUM(OFFSET(E241, -MOD(ROW()-6, 6), 0, MOD(ROW()-6, 6))), 0) - IFERROR(SUM(SUMIF('💳 Debt Input'!$A$4:$A$9, OFFSET(B241, 1, 0, 5-MOD(ROW()-6, 6)), '💳 Debt Input'!$D$4:$D$9)), 0))), 2))</f>
        <v>0</v>
      </c>
      <c r="F241" s="66">
        <f t="shared" ca="1" si="7"/>
        <v>0</v>
      </c>
      <c r="G241" s="28" t="str">
        <f t="shared" ca="1" si="6"/>
        <v>Paid off</v>
      </c>
      <c r="H241" s="28"/>
    </row>
    <row r="242" spans="1:8" ht="18" customHeight="1" x14ac:dyDescent="0.35">
      <c r="A242" s="52"/>
      <c r="B242" s="26" t="str">
        <v>Auto Loan</v>
      </c>
      <c r="C242" s="66">
        <f ca="1"/>
        <v>0</v>
      </c>
      <c r="D242" s="66">
        <f ca="1">IF(B242="","", ROUND(C242 * (VLOOKUP(B242, '💳 Debt Input'!$A$4:$G$9, 3, FALSE) / 12), 2))</f>
        <v>0</v>
      </c>
      <c r="E242" s="66" cm="1">
        <f t="array" aca="1" ref="E242" ca="1">IF(B242="","", ROUND(MIN(C242+D242, MAX(VLOOKUP(B242,'💳 Debt Input'!$A$4:$G$9,4,FALSE), $F$3 - IFERROR(SUM(OFFSET(E242, -MOD(ROW()-6, 6), 0, MOD(ROW()-6, 6))), 0) - IFERROR(SUM(SUMIF('💳 Debt Input'!$A$4:$A$9, OFFSET(B242, 1, 0, 5-MOD(ROW()-6, 6)), '💳 Debt Input'!$D$4:$D$9)), 0))), 2))</f>
        <v>0</v>
      </c>
      <c r="F242" s="66">
        <f t="shared" ca="1" si="7"/>
        <v>0</v>
      </c>
      <c r="G242" s="28" t="str">
        <f t="shared" ca="1" si="6"/>
        <v>Paid off</v>
      </c>
      <c r="H242" s="28"/>
    </row>
    <row r="243" spans="1:8" ht="18" customHeight="1" x14ac:dyDescent="0.35">
      <c r="A243" s="47"/>
      <c r="B243" s="8" t="str">
        <v>Travel Card</v>
      </c>
      <c r="C243" s="61">
        <f ca="1"/>
        <v>0</v>
      </c>
      <c r="D243" s="61">
        <f ca="1">IF(B243="","", ROUND(C243 * (VLOOKUP(B243, '💳 Debt Input'!$A$4:$G$9, 3, FALSE) / 12), 2))</f>
        <v>0</v>
      </c>
      <c r="E243" s="61" cm="1">
        <f t="array" aca="1" ref="E243" ca="1">IF(B243="","", ROUND(MIN(C243+D243, MAX(VLOOKUP(B243,'💳 Debt Input'!$A$4:$G$9,4,FALSE), $F$3 - IFERROR(SUM(OFFSET(E243, -MOD(ROW()-6, 6), 0, MOD(ROW()-6, 6))), 0) - IFERROR(SUM(SUMIF('💳 Debt Input'!$A$4:$A$9, OFFSET(B243, 1, 0, 5-MOD(ROW()-6, 6)), '💳 Debt Input'!$D$4:$D$9)), 0))), 2))</f>
        <v>0</v>
      </c>
      <c r="F243" s="61">
        <f t="shared" ca="1" si="7"/>
        <v>0</v>
      </c>
      <c r="G243" s="19" t="str">
        <f t="shared" ca="1" si="6"/>
        <v>Paid off</v>
      </c>
      <c r="H243" s="19"/>
    </row>
    <row r="244" spans="1:8" ht="18" customHeight="1" x14ac:dyDescent="0.35">
      <c r="A244" s="47"/>
      <c r="B244" s="8" t="str">
        <v>Rewards Visa</v>
      </c>
      <c r="C244" s="61">
        <f ca="1"/>
        <v>15766.13</v>
      </c>
      <c r="D244" s="61">
        <f ca="1">IF(B244="","", ROUND(C244 * (VLOOKUP(B244, '💳 Debt Input'!$A$4:$G$9, 3, FALSE) / 12), 2))</f>
        <v>472.98</v>
      </c>
      <c r="E244" s="61" cm="1">
        <f t="array" aca="1" ref="E244" ca="1">IF(B244="","", ROUND(MIN(C244+D244, MAX(VLOOKUP(B244,'💳 Debt Input'!$A$4:$G$9,4,FALSE), $F$3 - IFERROR(SUM(OFFSET(E244, -MOD(ROW()-6, 6), 0, MOD(ROW()-6, 6))), 0) - IFERROR(SUM(SUMIF('💳 Debt Input'!$A$4:$A$9, OFFSET(B244, 1, 0, 5-MOD(ROW()-6, 6)), '💳 Debt Input'!$D$4:$D$9)), 0))), 2))</f>
        <v>985</v>
      </c>
      <c r="F244" s="61">
        <f t="shared" ca="1" si="7"/>
        <v>15254.11</v>
      </c>
      <c r="G244" s="19" t="str">
        <f t="shared" ca="1" si="6"/>
        <v>Active</v>
      </c>
      <c r="H244" s="19"/>
    </row>
    <row r="245" spans="1:8" ht="18" customHeight="1" x14ac:dyDescent="0.35">
      <c r="A245" s="51">
        <v>40</v>
      </c>
      <c r="B245" s="56" t="str" cm="1">
        <f t="array" ref="B245:B250">B239:B244</f>
        <v>Store Card</v>
      </c>
      <c r="C245" s="65" cm="1">
        <f t="array" aca="1" ref="C245:C250" ca="1">F239:F244</f>
        <v>0</v>
      </c>
      <c r="D245" s="65">
        <f ca="1">IF(B245="","", ROUND(C245 * (VLOOKUP(B245, '💳 Debt Input'!$A$4:$G$9, 3, FALSE) / 12), 2))</f>
        <v>0</v>
      </c>
      <c r="E245" s="65" cm="1">
        <f t="array" aca="1" ref="E245" ca="1">IF(B245="","", ROUND(MIN(C245+D245, MAX(VLOOKUP(B245,'💳 Debt Input'!$A$4:$G$9,4,FALSE), $F$3 - IFERROR(SUM(OFFSET(E245, -MOD(ROW()-6, 6), 0, MOD(ROW()-6, 6))), 0) - IFERROR(SUM(SUMIF('💳 Debt Input'!$A$4:$A$9, OFFSET(B245, 1, 0, 5-MOD(ROW()-6, 6)), '💳 Debt Input'!$D$4:$D$9)), 0))), 2))</f>
        <v>0</v>
      </c>
      <c r="F245" s="65">
        <f t="shared" ca="1" si="7"/>
        <v>0</v>
      </c>
      <c r="G245" s="25" t="str">
        <f t="shared" ca="1" si="6"/>
        <v>Paid off</v>
      </c>
      <c r="H245" s="25"/>
    </row>
    <row r="246" spans="1:8" ht="18" customHeight="1" x14ac:dyDescent="0.35">
      <c r="A246" s="52"/>
      <c r="B246" s="26" t="str">
        <v>Medical Bill</v>
      </c>
      <c r="C246" s="66">
        <f ca="1"/>
        <v>0</v>
      </c>
      <c r="D246" s="66">
        <f ca="1">IF(B246="","", ROUND(C246 * (VLOOKUP(B246, '💳 Debt Input'!$A$4:$G$9, 3, FALSE) / 12), 2))</f>
        <v>0</v>
      </c>
      <c r="E246" s="66" cm="1">
        <f t="array" aca="1" ref="E246" ca="1">IF(B246="","", ROUND(MIN(C246+D246, MAX(VLOOKUP(B246,'💳 Debt Input'!$A$4:$G$9,4,FALSE), $F$3 - IFERROR(SUM(OFFSET(E246, -MOD(ROW()-6, 6), 0, MOD(ROW()-6, 6))), 0) - IFERROR(SUM(SUMIF('💳 Debt Input'!$A$4:$A$9, OFFSET(B246, 1, 0, 5-MOD(ROW()-6, 6)), '💳 Debt Input'!$D$4:$D$9)), 0))), 2))</f>
        <v>0</v>
      </c>
      <c r="F246" s="66">
        <f t="shared" ca="1" si="7"/>
        <v>0</v>
      </c>
      <c r="G246" s="28" t="str">
        <f t="shared" ca="1" si="6"/>
        <v>Paid off</v>
      </c>
      <c r="H246" s="28"/>
    </row>
    <row r="247" spans="1:8" ht="18" customHeight="1" x14ac:dyDescent="0.35">
      <c r="A247" s="52"/>
      <c r="B247" s="26" t="str">
        <v>Personal Loan</v>
      </c>
      <c r="C247" s="66">
        <f ca="1"/>
        <v>0</v>
      </c>
      <c r="D247" s="66">
        <f ca="1">IF(B247="","", ROUND(C247 * (VLOOKUP(B247, '💳 Debt Input'!$A$4:$G$9, 3, FALSE) / 12), 2))</f>
        <v>0</v>
      </c>
      <c r="E247" s="66" cm="1">
        <f t="array" aca="1" ref="E247" ca="1">IF(B247="","", ROUND(MIN(C247+D247, MAX(VLOOKUP(B247,'💳 Debt Input'!$A$4:$G$9,4,FALSE), $F$3 - IFERROR(SUM(OFFSET(E247, -MOD(ROW()-6, 6), 0, MOD(ROW()-6, 6))), 0) - IFERROR(SUM(SUMIF('💳 Debt Input'!$A$4:$A$9, OFFSET(B247, 1, 0, 5-MOD(ROW()-6, 6)), '💳 Debt Input'!$D$4:$D$9)), 0))), 2))</f>
        <v>0</v>
      </c>
      <c r="F247" s="66">
        <f t="shared" ca="1" si="7"/>
        <v>0</v>
      </c>
      <c r="G247" s="28" t="str">
        <f t="shared" ca="1" si="6"/>
        <v>Paid off</v>
      </c>
      <c r="H247" s="28"/>
    </row>
    <row r="248" spans="1:8" ht="18" customHeight="1" x14ac:dyDescent="0.35">
      <c r="A248" s="52"/>
      <c r="B248" s="26" t="str">
        <v>Auto Loan</v>
      </c>
      <c r="C248" s="66">
        <f ca="1"/>
        <v>0</v>
      </c>
      <c r="D248" s="66">
        <f ca="1">IF(B248="","", ROUND(C248 * (VLOOKUP(B248, '💳 Debt Input'!$A$4:$G$9, 3, FALSE) / 12), 2))</f>
        <v>0</v>
      </c>
      <c r="E248" s="66" cm="1">
        <f t="array" aca="1" ref="E248" ca="1">IF(B248="","", ROUND(MIN(C248+D248, MAX(VLOOKUP(B248,'💳 Debt Input'!$A$4:$G$9,4,FALSE), $F$3 - IFERROR(SUM(OFFSET(E248, -MOD(ROW()-6, 6), 0, MOD(ROW()-6, 6))), 0) - IFERROR(SUM(SUMIF('💳 Debt Input'!$A$4:$A$9, OFFSET(B248, 1, 0, 5-MOD(ROW()-6, 6)), '💳 Debt Input'!$D$4:$D$9)), 0))), 2))</f>
        <v>0</v>
      </c>
      <c r="F248" s="66">
        <f t="shared" ca="1" si="7"/>
        <v>0</v>
      </c>
      <c r="G248" s="28" t="str">
        <f t="shared" ca="1" si="6"/>
        <v>Paid off</v>
      </c>
      <c r="H248" s="28"/>
    </row>
    <row r="249" spans="1:8" ht="18" customHeight="1" x14ac:dyDescent="0.35">
      <c r="A249" s="49"/>
      <c r="B249" s="6" t="str">
        <v>Travel Card</v>
      </c>
      <c r="C249" s="63">
        <f ca="1"/>
        <v>0</v>
      </c>
      <c r="D249" s="63">
        <f ca="1">IF(B249="","", ROUND(C249 * (VLOOKUP(B249, '💳 Debt Input'!$A$4:$G$9, 3, FALSE) / 12), 2))</f>
        <v>0</v>
      </c>
      <c r="E249" s="63" cm="1">
        <f t="array" aca="1" ref="E249" ca="1">IF(B249="","", ROUND(MIN(C249+D249, MAX(VLOOKUP(B249,'💳 Debt Input'!$A$4:$G$9,4,FALSE), $F$3 - IFERROR(SUM(OFFSET(E249, -MOD(ROW()-6, 6), 0, MOD(ROW()-6, 6))), 0) - IFERROR(SUM(SUMIF('💳 Debt Input'!$A$4:$A$9, OFFSET(B249, 1, 0, 5-MOD(ROW()-6, 6)), '💳 Debt Input'!$D$4:$D$9)), 0))), 2))</f>
        <v>0</v>
      </c>
      <c r="F249" s="63">
        <f t="shared" ca="1" si="7"/>
        <v>0</v>
      </c>
      <c r="G249" s="22" t="str">
        <f t="shared" ca="1" si="6"/>
        <v>Paid off</v>
      </c>
      <c r="H249" s="22"/>
    </row>
    <row r="250" spans="1:8" ht="18" customHeight="1" x14ac:dyDescent="0.35">
      <c r="A250" s="49"/>
      <c r="B250" s="6" t="str">
        <v>Rewards Visa</v>
      </c>
      <c r="C250" s="63">
        <f ca="1"/>
        <v>15254.11</v>
      </c>
      <c r="D250" s="63">
        <f ca="1">IF(B250="","", ROUND(C250 * (VLOOKUP(B250, '💳 Debt Input'!$A$4:$G$9, 3, FALSE) / 12), 2))</f>
        <v>457.62</v>
      </c>
      <c r="E250" s="63" cm="1">
        <f t="array" aca="1" ref="E250" ca="1">IF(B250="","", ROUND(MIN(C250+D250, MAX(VLOOKUP(B250,'💳 Debt Input'!$A$4:$G$9,4,FALSE), $F$3 - IFERROR(SUM(OFFSET(E250, -MOD(ROW()-6, 6), 0, MOD(ROW()-6, 6))), 0) - IFERROR(SUM(SUMIF('💳 Debt Input'!$A$4:$A$9, OFFSET(B250, 1, 0, 5-MOD(ROW()-6, 6)), '💳 Debt Input'!$D$4:$D$9)), 0))), 2))</f>
        <v>985</v>
      </c>
      <c r="F250" s="63">
        <f t="shared" ca="1" si="7"/>
        <v>14726.73</v>
      </c>
      <c r="G250" s="22" t="str">
        <f t="shared" ca="1" si="6"/>
        <v>Active</v>
      </c>
      <c r="H250" s="22"/>
    </row>
    <row r="251" spans="1:8" ht="18" customHeight="1" x14ac:dyDescent="0.35">
      <c r="A251" s="51">
        <v>41</v>
      </c>
      <c r="B251" s="56" t="str" cm="1">
        <f t="array" ref="B251:B256">B245:B250</f>
        <v>Store Card</v>
      </c>
      <c r="C251" s="65" cm="1">
        <f t="array" aca="1" ref="C251:C256" ca="1">F245:F250</f>
        <v>0</v>
      </c>
      <c r="D251" s="65">
        <f ca="1">IF(B251="","", ROUND(C251 * (VLOOKUP(B251, '💳 Debt Input'!$A$4:$G$9, 3, FALSE) / 12), 2))</f>
        <v>0</v>
      </c>
      <c r="E251" s="65" cm="1">
        <f t="array" aca="1" ref="E251" ca="1">IF(B251="","", ROUND(MIN(C251+D251, MAX(VLOOKUP(B251,'💳 Debt Input'!$A$4:$G$9,4,FALSE), $F$3 - IFERROR(SUM(OFFSET(E251, -MOD(ROW()-6, 6), 0, MOD(ROW()-6, 6))), 0) - IFERROR(SUM(SUMIF('💳 Debt Input'!$A$4:$A$9, OFFSET(B251, 1, 0, 5-MOD(ROW()-6, 6)), '💳 Debt Input'!$D$4:$D$9)), 0))), 2))</f>
        <v>0</v>
      </c>
      <c r="F251" s="65">
        <f t="shared" ca="1" si="7"/>
        <v>0</v>
      </c>
      <c r="G251" s="25" t="str">
        <f t="shared" ca="1" si="6"/>
        <v>Paid off</v>
      </c>
      <c r="H251" s="25"/>
    </row>
    <row r="252" spans="1:8" ht="18" customHeight="1" x14ac:dyDescent="0.35">
      <c r="A252" s="52"/>
      <c r="B252" s="26" t="str">
        <v>Medical Bill</v>
      </c>
      <c r="C252" s="66">
        <f ca="1"/>
        <v>0</v>
      </c>
      <c r="D252" s="66">
        <f ca="1">IF(B252="","", ROUND(C252 * (VLOOKUP(B252, '💳 Debt Input'!$A$4:$G$9, 3, FALSE) / 12), 2))</f>
        <v>0</v>
      </c>
      <c r="E252" s="66" cm="1">
        <f t="array" aca="1" ref="E252" ca="1">IF(B252="","", ROUND(MIN(C252+D252, MAX(VLOOKUP(B252,'💳 Debt Input'!$A$4:$G$9,4,FALSE), $F$3 - IFERROR(SUM(OFFSET(E252, -MOD(ROW()-6, 6), 0, MOD(ROW()-6, 6))), 0) - IFERROR(SUM(SUMIF('💳 Debt Input'!$A$4:$A$9, OFFSET(B252, 1, 0, 5-MOD(ROW()-6, 6)), '💳 Debt Input'!$D$4:$D$9)), 0))), 2))</f>
        <v>0</v>
      </c>
      <c r="F252" s="66">
        <f t="shared" ca="1" si="7"/>
        <v>0</v>
      </c>
      <c r="G252" s="28" t="str">
        <f t="shared" ca="1" si="6"/>
        <v>Paid off</v>
      </c>
      <c r="H252" s="28"/>
    </row>
    <row r="253" spans="1:8" ht="18" customHeight="1" x14ac:dyDescent="0.35">
      <c r="A253" s="52"/>
      <c r="B253" s="26" t="str">
        <v>Personal Loan</v>
      </c>
      <c r="C253" s="66">
        <f ca="1"/>
        <v>0</v>
      </c>
      <c r="D253" s="66">
        <f ca="1">IF(B253="","", ROUND(C253 * (VLOOKUP(B253, '💳 Debt Input'!$A$4:$G$9, 3, FALSE) / 12), 2))</f>
        <v>0</v>
      </c>
      <c r="E253" s="66" cm="1">
        <f t="array" aca="1" ref="E253" ca="1">IF(B253="","", ROUND(MIN(C253+D253, MAX(VLOOKUP(B253,'💳 Debt Input'!$A$4:$G$9,4,FALSE), $F$3 - IFERROR(SUM(OFFSET(E253, -MOD(ROW()-6, 6), 0, MOD(ROW()-6, 6))), 0) - IFERROR(SUM(SUMIF('💳 Debt Input'!$A$4:$A$9, OFFSET(B253, 1, 0, 5-MOD(ROW()-6, 6)), '💳 Debt Input'!$D$4:$D$9)), 0))), 2))</f>
        <v>0</v>
      </c>
      <c r="F253" s="66">
        <f t="shared" ca="1" si="7"/>
        <v>0</v>
      </c>
      <c r="G253" s="28" t="str">
        <f t="shared" ca="1" si="6"/>
        <v>Paid off</v>
      </c>
      <c r="H253" s="28"/>
    </row>
    <row r="254" spans="1:8" ht="18" customHeight="1" x14ac:dyDescent="0.35">
      <c r="A254" s="52"/>
      <c r="B254" s="26" t="str">
        <v>Auto Loan</v>
      </c>
      <c r="C254" s="66">
        <f ca="1"/>
        <v>0</v>
      </c>
      <c r="D254" s="66">
        <f ca="1">IF(B254="","", ROUND(C254 * (VLOOKUP(B254, '💳 Debt Input'!$A$4:$G$9, 3, FALSE) / 12), 2))</f>
        <v>0</v>
      </c>
      <c r="E254" s="66" cm="1">
        <f t="array" aca="1" ref="E254" ca="1">IF(B254="","", ROUND(MIN(C254+D254, MAX(VLOOKUP(B254,'💳 Debt Input'!$A$4:$G$9,4,FALSE), $F$3 - IFERROR(SUM(OFFSET(E254, -MOD(ROW()-6, 6), 0, MOD(ROW()-6, 6))), 0) - IFERROR(SUM(SUMIF('💳 Debt Input'!$A$4:$A$9, OFFSET(B254, 1, 0, 5-MOD(ROW()-6, 6)), '💳 Debt Input'!$D$4:$D$9)), 0))), 2))</f>
        <v>0</v>
      </c>
      <c r="F254" s="66">
        <f t="shared" ca="1" si="7"/>
        <v>0</v>
      </c>
      <c r="G254" s="28" t="str">
        <f t="shared" ca="1" si="6"/>
        <v>Paid off</v>
      </c>
      <c r="H254" s="28"/>
    </row>
    <row r="255" spans="1:8" ht="18" customHeight="1" x14ac:dyDescent="0.35">
      <c r="A255" s="52"/>
      <c r="B255" s="26" t="str">
        <v>Travel Card</v>
      </c>
      <c r="C255" s="66">
        <f ca="1"/>
        <v>0</v>
      </c>
      <c r="D255" s="66">
        <f ca="1">IF(B255="","", ROUND(C255 * (VLOOKUP(B255, '💳 Debt Input'!$A$4:$G$9, 3, FALSE) / 12), 2))</f>
        <v>0</v>
      </c>
      <c r="E255" s="66" cm="1">
        <f t="array" aca="1" ref="E255" ca="1">IF(B255="","", ROUND(MIN(C255+D255, MAX(VLOOKUP(B255,'💳 Debt Input'!$A$4:$G$9,4,FALSE), $F$3 - IFERROR(SUM(OFFSET(E255, -MOD(ROW()-6, 6), 0, MOD(ROW()-6, 6))), 0) - IFERROR(SUM(SUMIF('💳 Debt Input'!$A$4:$A$9, OFFSET(B255, 1, 0, 5-MOD(ROW()-6, 6)), '💳 Debt Input'!$D$4:$D$9)), 0))), 2))</f>
        <v>0</v>
      </c>
      <c r="F255" s="66">
        <f t="shared" ca="1" si="7"/>
        <v>0</v>
      </c>
      <c r="G255" s="28" t="str">
        <f t="shared" ca="1" si="6"/>
        <v>Paid off</v>
      </c>
      <c r="H255" s="28"/>
    </row>
    <row r="256" spans="1:8" ht="18" customHeight="1" x14ac:dyDescent="0.35">
      <c r="A256" s="47"/>
      <c r="B256" s="8" t="str">
        <v>Rewards Visa</v>
      </c>
      <c r="C256" s="61">
        <f ca="1"/>
        <v>14726.73</v>
      </c>
      <c r="D256" s="61">
        <f ca="1">IF(B256="","", ROUND(C256 * (VLOOKUP(B256, '💳 Debt Input'!$A$4:$G$9, 3, FALSE) / 12), 2))</f>
        <v>441.8</v>
      </c>
      <c r="E256" s="61" cm="1">
        <f t="array" aca="1" ref="E256" ca="1">IF(B256="","", ROUND(MIN(C256+D256, MAX(VLOOKUP(B256,'💳 Debt Input'!$A$4:$G$9,4,FALSE), $F$3 - IFERROR(SUM(OFFSET(E256, -MOD(ROW()-6, 6), 0, MOD(ROW()-6, 6))), 0) - IFERROR(SUM(SUMIF('💳 Debt Input'!$A$4:$A$9, OFFSET(B256, 1, 0, 5-MOD(ROW()-6, 6)), '💳 Debt Input'!$D$4:$D$9)), 0))), 2))</f>
        <v>985</v>
      </c>
      <c r="F256" s="61">
        <f t="shared" ca="1" si="7"/>
        <v>14183.53</v>
      </c>
      <c r="G256" s="19" t="str">
        <f t="shared" ca="1" si="6"/>
        <v>Active</v>
      </c>
      <c r="H256" s="19"/>
    </row>
    <row r="257" spans="1:8" ht="18" customHeight="1" x14ac:dyDescent="0.35">
      <c r="A257" s="51">
        <v>42</v>
      </c>
      <c r="B257" s="56" t="str" cm="1">
        <f t="array" ref="B257:B262">B251:B256</f>
        <v>Store Card</v>
      </c>
      <c r="C257" s="65" cm="1">
        <f t="array" aca="1" ref="C257:C262" ca="1">F251:F256</f>
        <v>0</v>
      </c>
      <c r="D257" s="65">
        <f ca="1">IF(B257="","", ROUND(C257 * (VLOOKUP(B257, '💳 Debt Input'!$A$4:$G$9, 3, FALSE) / 12), 2))</f>
        <v>0</v>
      </c>
      <c r="E257" s="65" cm="1">
        <f t="array" aca="1" ref="E257" ca="1">IF(B257="","", ROUND(MIN(C257+D257, MAX(VLOOKUP(B257,'💳 Debt Input'!$A$4:$G$9,4,FALSE), $F$3 - IFERROR(SUM(OFFSET(E257, -MOD(ROW()-6, 6), 0, MOD(ROW()-6, 6))), 0) - IFERROR(SUM(SUMIF('💳 Debt Input'!$A$4:$A$9, OFFSET(B257, 1, 0, 5-MOD(ROW()-6, 6)), '💳 Debt Input'!$D$4:$D$9)), 0))), 2))</f>
        <v>0</v>
      </c>
      <c r="F257" s="65">
        <f t="shared" ca="1" si="7"/>
        <v>0</v>
      </c>
      <c r="G257" s="25" t="str">
        <f t="shared" ca="1" si="6"/>
        <v>Paid off</v>
      </c>
      <c r="H257" s="25"/>
    </row>
    <row r="258" spans="1:8" ht="18" customHeight="1" x14ac:dyDescent="0.35">
      <c r="A258" s="52"/>
      <c r="B258" s="26" t="str">
        <v>Medical Bill</v>
      </c>
      <c r="C258" s="66">
        <f ca="1"/>
        <v>0</v>
      </c>
      <c r="D258" s="66">
        <f ca="1">IF(B258="","", ROUND(C258 * (VLOOKUP(B258, '💳 Debt Input'!$A$4:$G$9, 3, FALSE) / 12), 2))</f>
        <v>0</v>
      </c>
      <c r="E258" s="66" cm="1">
        <f t="array" aca="1" ref="E258" ca="1">IF(B258="","", ROUND(MIN(C258+D258, MAX(VLOOKUP(B258,'💳 Debt Input'!$A$4:$G$9,4,FALSE), $F$3 - IFERROR(SUM(OFFSET(E258, -MOD(ROW()-6, 6), 0, MOD(ROW()-6, 6))), 0) - IFERROR(SUM(SUMIF('💳 Debt Input'!$A$4:$A$9, OFFSET(B258, 1, 0, 5-MOD(ROW()-6, 6)), '💳 Debt Input'!$D$4:$D$9)), 0))), 2))</f>
        <v>0</v>
      </c>
      <c r="F258" s="66">
        <f t="shared" ca="1" si="7"/>
        <v>0</v>
      </c>
      <c r="G258" s="28" t="str">
        <f t="shared" ca="1" si="6"/>
        <v>Paid off</v>
      </c>
      <c r="H258" s="28"/>
    </row>
    <row r="259" spans="1:8" ht="18" customHeight="1" x14ac:dyDescent="0.35">
      <c r="A259" s="52"/>
      <c r="B259" s="26" t="str">
        <v>Personal Loan</v>
      </c>
      <c r="C259" s="66">
        <f ca="1"/>
        <v>0</v>
      </c>
      <c r="D259" s="66">
        <f ca="1">IF(B259="","", ROUND(C259 * (VLOOKUP(B259, '💳 Debt Input'!$A$4:$G$9, 3, FALSE) / 12), 2))</f>
        <v>0</v>
      </c>
      <c r="E259" s="66" cm="1">
        <f t="array" aca="1" ref="E259" ca="1">IF(B259="","", ROUND(MIN(C259+D259, MAX(VLOOKUP(B259,'💳 Debt Input'!$A$4:$G$9,4,FALSE), $F$3 - IFERROR(SUM(OFFSET(E259, -MOD(ROW()-6, 6), 0, MOD(ROW()-6, 6))), 0) - IFERROR(SUM(SUMIF('💳 Debt Input'!$A$4:$A$9, OFFSET(B259, 1, 0, 5-MOD(ROW()-6, 6)), '💳 Debt Input'!$D$4:$D$9)), 0))), 2))</f>
        <v>0</v>
      </c>
      <c r="F259" s="66">
        <f t="shared" ca="1" si="7"/>
        <v>0</v>
      </c>
      <c r="G259" s="28" t="str">
        <f t="shared" ca="1" si="6"/>
        <v>Paid off</v>
      </c>
      <c r="H259" s="28"/>
    </row>
    <row r="260" spans="1:8" ht="18" customHeight="1" x14ac:dyDescent="0.35">
      <c r="A260" s="52"/>
      <c r="B260" s="26" t="str">
        <v>Auto Loan</v>
      </c>
      <c r="C260" s="66">
        <f ca="1"/>
        <v>0</v>
      </c>
      <c r="D260" s="66">
        <f ca="1">IF(B260="","", ROUND(C260 * (VLOOKUP(B260, '💳 Debt Input'!$A$4:$G$9, 3, FALSE) / 12), 2))</f>
        <v>0</v>
      </c>
      <c r="E260" s="66" cm="1">
        <f t="array" aca="1" ref="E260" ca="1">IF(B260="","", ROUND(MIN(C260+D260, MAX(VLOOKUP(B260,'💳 Debt Input'!$A$4:$G$9,4,FALSE), $F$3 - IFERROR(SUM(OFFSET(E260, -MOD(ROW()-6, 6), 0, MOD(ROW()-6, 6))), 0) - IFERROR(SUM(SUMIF('💳 Debt Input'!$A$4:$A$9, OFFSET(B260, 1, 0, 5-MOD(ROW()-6, 6)), '💳 Debt Input'!$D$4:$D$9)), 0))), 2))</f>
        <v>0</v>
      </c>
      <c r="F260" s="66">
        <f t="shared" ca="1" si="7"/>
        <v>0</v>
      </c>
      <c r="G260" s="28" t="str">
        <f t="shared" ca="1" si="6"/>
        <v>Paid off</v>
      </c>
      <c r="H260" s="28"/>
    </row>
    <row r="261" spans="1:8" ht="18" customHeight="1" x14ac:dyDescent="0.35">
      <c r="A261" s="52"/>
      <c r="B261" s="26" t="str">
        <v>Travel Card</v>
      </c>
      <c r="C261" s="66">
        <f ca="1"/>
        <v>0</v>
      </c>
      <c r="D261" s="66">
        <f ca="1">IF(B261="","", ROUND(C261 * (VLOOKUP(B261, '💳 Debt Input'!$A$4:$G$9, 3, FALSE) / 12), 2))</f>
        <v>0</v>
      </c>
      <c r="E261" s="66" cm="1">
        <f t="array" aca="1" ref="E261" ca="1">IF(B261="","", ROUND(MIN(C261+D261, MAX(VLOOKUP(B261,'💳 Debt Input'!$A$4:$G$9,4,FALSE), $F$3 - IFERROR(SUM(OFFSET(E261, -MOD(ROW()-6, 6), 0, MOD(ROW()-6, 6))), 0) - IFERROR(SUM(SUMIF('💳 Debt Input'!$A$4:$A$9, OFFSET(B261, 1, 0, 5-MOD(ROW()-6, 6)), '💳 Debt Input'!$D$4:$D$9)), 0))), 2))</f>
        <v>0</v>
      </c>
      <c r="F261" s="66">
        <f t="shared" ca="1" si="7"/>
        <v>0</v>
      </c>
      <c r="G261" s="28" t="str">
        <f t="shared" ca="1" si="6"/>
        <v>Paid off</v>
      </c>
      <c r="H261" s="28"/>
    </row>
    <row r="262" spans="1:8" ht="18" customHeight="1" x14ac:dyDescent="0.35">
      <c r="A262" s="49"/>
      <c r="B262" s="6" t="str">
        <v>Rewards Visa</v>
      </c>
      <c r="C262" s="63">
        <f ca="1"/>
        <v>14183.53</v>
      </c>
      <c r="D262" s="63">
        <f ca="1">IF(B262="","", ROUND(C262 * (VLOOKUP(B262, '💳 Debt Input'!$A$4:$G$9, 3, FALSE) / 12), 2))</f>
        <v>425.51</v>
      </c>
      <c r="E262" s="63" cm="1">
        <f t="array" aca="1" ref="E262" ca="1">IF(B262="","", ROUND(MIN(C262+D262, MAX(VLOOKUP(B262,'💳 Debt Input'!$A$4:$G$9,4,FALSE), $F$3 - IFERROR(SUM(OFFSET(E262, -MOD(ROW()-6, 6), 0, MOD(ROW()-6, 6))), 0) - IFERROR(SUM(SUMIF('💳 Debt Input'!$A$4:$A$9, OFFSET(B262, 1, 0, 5-MOD(ROW()-6, 6)), '💳 Debt Input'!$D$4:$D$9)), 0))), 2))</f>
        <v>985</v>
      </c>
      <c r="F262" s="63">
        <f t="shared" ca="1" si="7"/>
        <v>13624.04</v>
      </c>
      <c r="G262" s="22" t="str">
        <f t="shared" ca="1" si="6"/>
        <v>Active</v>
      </c>
      <c r="H262" s="22"/>
    </row>
    <row r="263" spans="1:8" ht="18" customHeight="1" x14ac:dyDescent="0.35">
      <c r="A263" s="51">
        <v>43</v>
      </c>
      <c r="B263" s="56" t="str" cm="1">
        <f t="array" ref="B263:B268">B257:B262</f>
        <v>Store Card</v>
      </c>
      <c r="C263" s="65" cm="1">
        <f t="array" aca="1" ref="C263:C268" ca="1">F257:F262</f>
        <v>0</v>
      </c>
      <c r="D263" s="65">
        <f ca="1">IF(B263="","", ROUND(C263 * (VLOOKUP(B263, '💳 Debt Input'!$A$4:$G$9, 3, FALSE) / 12), 2))</f>
        <v>0</v>
      </c>
      <c r="E263" s="65" cm="1">
        <f t="array" aca="1" ref="E263" ca="1">IF(B263="","", ROUND(MIN(C263+D263, MAX(VLOOKUP(B263,'💳 Debt Input'!$A$4:$G$9,4,FALSE), $F$3 - IFERROR(SUM(OFFSET(E263, -MOD(ROW()-6, 6), 0, MOD(ROW()-6, 6))), 0) - IFERROR(SUM(SUMIF('💳 Debt Input'!$A$4:$A$9, OFFSET(B263, 1, 0, 5-MOD(ROW()-6, 6)), '💳 Debt Input'!$D$4:$D$9)), 0))), 2))</f>
        <v>0</v>
      </c>
      <c r="F263" s="65">
        <f t="shared" ca="1" si="7"/>
        <v>0</v>
      </c>
      <c r="G263" s="25" t="str">
        <f t="shared" ca="1" si="6"/>
        <v>Paid off</v>
      </c>
      <c r="H263" s="25"/>
    </row>
    <row r="264" spans="1:8" ht="18" customHeight="1" x14ac:dyDescent="0.35">
      <c r="A264" s="52"/>
      <c r="B264" s="26" t="str">
        <v>Medical Bill</v>
      </c>
      <c r="C264" s="66">
        <f ca="1"/>
        <v>0</v>
      </c>
      <c r="D264" s="66">
        <f ca="1">IF(B264="","", ROUND(C264 * (VLOOKUP(B264, '💳 Debt Input'!$A$4:$G$9, 3, FALSE) / 12), 2))</f>
        <v>0</v>
      </c>
      <c r="E264" s="66" cm="1">
        <f t="array" aca="1" ref="E264" ca="1">IF(B264="","", ROUND(MIN(C264+D264, MAX(VLOOKUP(B264,'💳 Debt Input'!$A$4:$G$9,4,FALSE), $F$3 - IFERROR(SUM(OFFSET(E264, -MOD(ROW()-6, 6), 0, MOD(ROW()-6, 6))), 0) - IFERROR(SUM(SUMIF('💳 Debt Input'!$A$4:$A$9, OFFSET(B264, 1, 0, 5-MOD(ROW()-6, 6)), '💳 Debt Input'!$D$4:$D$9)), 0))), 2))</f>
        <v>0</v>
      </c>
      <c r="F264" s="66">
        <f t="shared" ca="1" si="7"/>
        <v>0</v>
      </c>
      <c r="G264" s="28" t="str">
        <f t="shared" ca="1" si="6"/>
        <v>Paid off</v>
      </c>
      <c r="H264" s="28"/>
    </row>
    <row r="265" spans="1:8" ht="18" customHeight="1" x14ac:dyDescent="0.35">
      <c r="A265" s="52"/>
      <c r="B265" s="26" t="str">
        <v>Personal Loan</v>
      </c>
      <c r="C265" s="66">
        <f ca="1"/>
        <v>0</v>
      </c>
      <c r="D265" s="66">
        <f ca="1">IF(B265="","", ROUND(C265 * (VLOOKUP(B265, '💳 Debt Input'!$A$4:$G$9, 3, FALSE) / 12), 2))</f>
        <v>0</v>
      </c>
      <c r="E265" s="66" cm="1">
        <f t="array" aca="1" ref="E265" ca="1">IF(B265="","", ROUND(MIN(C265+D265, MAX(VLOOKUP(B265,'💳 Debt Input'!$A$4:$G$9,4,FALSE), $F$3 - IFERROR(SUM(OFFSET(E265, -MOD(ROW()-6, 6), 0, MOD(ROW()-6, 6))), 0) - IFERROR(SUM(SUMIF('💳 Debt Input'!$A$4:$A$9, OFFSET(B265, 1, 0, 5-MOD(ROW()-6, 6)), '💳 Debt Input'!$D$4:$D$9)), 0))), 2))</f>
        <v>0</v>
      </c>
      <c r="F265" s="66">
        <f t="shared" ca="1" si="7"/>
        <v>0</v>
      </c>
      <c r="G265" s="28" t="str">
        <f t="shared" ca="1" si="6"/>
        <v>Paid off</v>
      </c>
      <c r="H265" s="28"/>
    </row>
    <row r="266" spans="1:8" ht="18" customHeight="1" x14ac:dyDescent="0.35">
      <c r="A266" s="52"/>
      <c r="B266" s="26" t="str">
        <v>Auto Loan</v>
      </c>
      <c r="C266" s="66">
        <f ca="1"/>
        <v>0</v>
      </c>
      <c r="D266" s="66">
        <f ca="1">IF(B266="","", ROUND(C266 * (VLOOKUP(B266, '💳 Debt Input'!$A$4:$G$9, 3, FALSE) / 12), 2))</f>
        <v>0</v>
      </c>
      <c r="E266" s="66" cm="1">
        <f t="array" aca="1" ref="E266" ca="1">IF(B266="","", ROUND(MIN(C266+D266, MAX(VLOOKUP(B266,'💳 Debt Input'!$A$4:$G$9,4,FALSE), $F$3 - IFERROR(SUM(OFFSET(E266, -MOD(ROW()-6, 6), 0, MOD(ROW()-6, 6))), 0) - IFERROR(SUM(SUMIF('💳 Debt Input'!$A$4:$A$9, OFFSET(B266, 1, 0, 5-MOD(ROW()-6, 6)), '💳 Debt Input'!$D$4:$D$9)), 0))), 2))</f>
        <v>0</v>
      </c>
      <c r="F266" s="66">
        <f t="shared" ca="1" si="7"/>
        <v>0</v>
      </c>
      <c r="G266" s="28" t="str">
        <f t="shared" ca="1" si="6"/>
        <v>Paid off</v>
      </c>
      <c r="H266" s="28"/>
    </row>
    <row r="267" spans="1:8" ht="18" customHeight="1" x14ac:dyDescent="0.35">
      <c r="A267" s="52"/>
      <c r="B267" s="26" t="str">
        <v>Travel Card</v>
      </c>
      <c r="C267" s="66">
        <f ca="1"/>
        <v>0</v>
      </c>
      <c r="D267" s="66">
        <f ca="1">IF(B267="","", ROUND(C267 * (VLOOKUP(B267, '💳 Debt Input'!$A$4:$G$9, 3, FALSE) / 12), 2))</f>
        <v>0</v>
      </c>
      <c r="E267" s="66" cm="1">
        <f t="array" aca="1" ref="E267" ca="1">IF(B267="","", ROUND(MIN(C267+D267, MAX(VLOOKUP(B267,'💳 Debt Input'!$A$4:$G$9,4,FALSE), $F$3 - IFERROR(SUM(OFFSET(E267, -MOD(ROW()-6, 6), 0, MOD(ROW()-6, 6))), 0) - IFERROR(SUM(SUMIF('💳 Debt Input'!$A$4:$A$9, OFFSET(B267, 1, 0, 5-MOD(ROW()-6, 6)), '💳 Debt Input'!$D$4:$D$9)), 0))), 2))</f>
        <v>0</v>
      </c>
      <c r="F267" s="66">
        <f t="shared" ca="1" si="7"/>
        <v>0</v>
      </c>
      <c r="G267" s="28" t="str">
        <f t="shared" ref="G267:G330" ca="1" si="8">IF(F267=0,"Paid off","Active")</f>
        <v>Paid off</v>
      </c>
      <c r="H267" s="28"/>
    </row>
    <row r="268" spans="1:8" ht="18" customHeight="1" x14ac:dyDescent="0.35">
      <c r="A268" s="47"/>
      <c r="B268" s="8" t="str">
        <v>Rewards Visa</v>
      </c>
      <c r="C268" s="61">
        <f ca="1"/>
        <v>13624.04</v>
      </c>
      <c r="D268" s="61">
        <f ca="1">IF(B268="","", ROUND(C268 * (VLOOKUP(B268, '💳 Debt Input'!$A$4:$G$9, 3, FALSE) / 12), 2))</f>
        <v>408.72</v>
      </c>
      <c r="E268" s="61" cm="1">
        <f t="array" aca="1" ref="E268" ca="1">IF(B268="","", ROUND(MIN(C268+D268, MAX(VLOOKUP(B268,'💳 Debt Input'!$A$4:$G$9,4,FALSE), $F$3 - IFERROR(SUM(OFFSET(E268, -MOD(ROW()-6, 6), 0, MOD(ROW()-6, 6))), 0) - IFERROR(SUM(SUMIF('💳 Debt Input'!$A$4:$A$9, OFFSET(B268, 1, 0, 5-MOD(ROW()-6, 6)), '💳 Debt Input'!$D$4:$D$9)), 0))), 2))</f>
        <v>985</v>
      </c>
      <c r="F268" s="61">
        <f t="shared" ref="F268:F331" ca="1" si="9">ROUND(MAX(0,C268+D268-E268),2)</f>
        <v>13047.76</v>
      </c>
      <c r="G268" s="19" t="str">
        <f t="shared" ca="1" si="8"/>
        <v>Active</v>
      </c>
      <c r="H268" s="19"/>
    </row>
    <row r="269" spans="1:8" ht="18" customHeight="1" x14ac:dyDescent="0.35">
      <c r="A269" s="51">
        <v>44</v>
      </c>
      <c r="B269" s="56" t="str" cm="1">
        <f t="array" ref="B269:B274">B263:B268</f>
        <v>Store Card</v>
      </c>
      <c r="C269" s="65" cm="1">
        <f t="array" aca="1" ref="C269:C274" ca="1">F263:F268</f>
        <v>0</v>
      </c>
      <c r="D269" s="65">
        <f ca="1">IF(B269="","", ROUND(C269 * (VLOOKUP(B269, '💳 Debt Input'!$A$4:$G$9, 3, FALSE) / 12), 2))</f>
        <v>0</v>
      </c>
      <c r="E269" s="65" cm="1">
        <f t="array" aca="1" ref="E269" ca="1">IF(B269="","", ROUND(MIN(C269+D269, MAX(VLOOKUP(B269,'💳 Debt Input'!$A$4:$G$9,4,FALSE), $F$3 - IFERROR(SUM(OFFSET(E269, -MOD(ROW()-6, 6), 0, MOD(ROW()-6, 6))), 0) - IFERROR(SUM(SUMIF('💳 Debt Input'!$A$4:$A$9, OFFSET(B269, 1, 0, 5-MOD(ROW()-6, 6)), '💳 Debt Input'!$D$4:$D$9)), 0))), 2))</f>
        <v>0</v>
      </c>
      <c r="F269" s="65">
        <f t="shared" ca="1" si="9"/>
        <v>0</v>
      </c>
      <c r="G269" s="25" t="str">
        <f t="shared" ca="1" si="8"/>
        <v>Paid off</v>
      </c>
      <c r="H269" s="25"/>
    </row>
    <row r="270" spans="1:8" ht="18" customHeight="1" x14ac:dyDescent="0.35">
      <c r="A270" s="52"/>
      <c r="B270" s="26" t="str">
        <v>Medical Bill</v>
      </c>
      <c r="C270" s="66">
        <f ca="1"/>
        <v>0</v>
      </c>
      <c r="D270" s="66">
        <f ca="1">IF(B270="","", ROUND(C270 * (VLOOKUP(B270, '💳 Debt Input'!$A$4:$G$9, 3, FALSE) / 12), 2))</f>
        <v>0</v>
      </c>
      <c r="E270" s="66" cm="1">
        <f t="array" aca="1" ref="E270" ca="1">IF(B270="","", ROUND(MIN(C270+D270, MAX(VLOOKUP(B270,'💳 Debt Input'!$A$4:$G$9,4,FALSE), $F$3 - IFERROR(SUM(OFFSET(E270, -MOD(ROW()-6, 6), 0, MOD(ROW()-6, 6))), 0) - IFERROR(SUM(SUMIF('💳 Debt Input'!$A$4:$A$9, OFFSET(B270, 1, 0, 5-MOD(ROW()-6, 6)), '💳 Debt Input'!$D$4:$D$9)), 0))), 2))</f>
        <v>0</v>
      </c>
      <c r="F270" s="66">
        <f t="shared" ca="1" si="9"/>
        <v>0</v>
      </c>
      <c r="G270" s="28" t="str">
        <f t="shared" ca="1" si="8"/>
        <v>Paid off</v>
      </c>
      <c r="H270" s="28"/>
    </row>
    <row r="271" spans="1:8" ht="18" customHeight="1" x14ac:dyDescent="0.35">
      <c r="A271" s="52"/>
      <c r="B271" s="26" t="str">
        <v>Personal Loan</v>
      </c>
      <c r="C271" s="66">
        <f ca="1"/>
        <v>0</v>
      </c>
      <c r="D271" s="66">
        <f ca="1">IF(B271="","", ROUND(C271 * (VLOOKUP(B271, '💳 Debt Input'!$A$4:$G$9, 3, FALSE) / 12), 2))</f>
        <v>0</v>
      </c>
      <c r="E271" s="66" cm="1">
        <f t="array" aca="1" ref="E271" ca="1">IF(B271="","", ROUND(MIN(C271+D271, MAX(VLOOKUP(B271,'💳 Debt Input'!$A$4:$G$9,4,FALSE), $F$3 - IFERROR(SUM(OFFSET(E271, -MOD(ROW()-6, 6), 0, MOD(ROW()-6, 6))), 0) - IFERROR(SUM(SUMIF('💳 Debt Input'!$A$4:$A$9, OFFSET(B271, 1, 0, 5-MOD(ROW()-6, 6)), '💳 Debt Input'!$D$4:$D$9)), 0))), 2))</f>
        <v>0</v>
      </c>
      <c r="F271" s="66">
        <f t="shared" ca="1" si="9"/>
        <v>0</v>
      </c>
      <c r="G271" s="28" t="str">
        <f t="shared" ca="1" si="8"/>
        <v>Paid off</v>
      </c>
      <c r="H271" s="28"/>
    </row>
    <row r="272" spans="1:8" ht="18" customHeight="1" x14ac:dyDescent="0.35">
      <c r="A272" s="52"/>
      <c r="B272" s="26" t="str">
        <v>Auto Loan</v>
      </c>
      <c r="C272" s="66">
        <f ca="1"/>
        <v>0</v>
      </c>
      <c r="D272" s="66">
        <f ca="1">IF(B272="","", ROUND(C272 * (VLOOKUP(B272, '💳 Debt Input'!$A$4:$G$9, 3, FALSE) / 12), 2))</f>
        <v>0</v>
      </c>
      <c r="E272" s="66" cm="1">
        <f t="array" aca="1" ref="E272" ca="1">IF(B272="","", ROUND(MIN(C272+D272, MAX(VLOOKUP(B272,'💳 Debt Input'!$A$4:$G$9,4,FALSE), $F$3 - IFERROR(SUM(OFFSET(E272, -MOD(ROW()-6, 6), 0, MOD(ROW()-6, 6))), 0) - IFERROR(SUM(SUMIF('💳 Debt Input'!$A$4:$A$9, OFFSET(B272, 1, 0, 5-MOD(ROW()-6, 6)), '💳 Debt Input'!$D$4:$D$9)), 0))), 2))</f>
        <v>0</v>
      </c>
      <c r="F272" s="66">
        <f t="shared" ca="1" si="9"/>
        <v>0</v>
      </c>
      <c r="G272" s="28" t="str">
        <f t="shared" ca="1" si="8"/>
        <v>Paid off</v>
      </c>
      <c r="H272" s="28"/>
    </row>
    <row r="273" spans="1:8" ht="18" customHeight="1" x14ac:dyDescent="0.35">
      <c r="A273" s="52"/>
      <c r="B273" s="26" t="str">
        <v>Travel Card</v>
      </c>
      <c r="C273" s="66">
        <f ca="1"/>
        <v>0</v>
      </c>
      <c r="D273" s="66">
        <f ca="1">IF(B273="","", ROUND(C273 * (VLOOKUP(B273, '💳 Debt Input'!$A$4:$G$9, 3, FALSE) / 12), 2))</f>
        <v>0</v>
      </c>
      <c r="E273" s="66" cm="1">
        <f t="array" aca="1" ref="E273" ca="1">IF(B273="","", ROUND(MIN(C273+D273, MAX(VLOOKUP(B273,'💳 Debt Input'!$A$4:$G$9,4,FALSE), $F$3 - IFERROR(SUM(OFFSET(E273, -MOD(ROW()-6, 6), 0, MOD(ROW()-6, 6))), 0) - IFERROR(SUM(SUMIF('💳 Debt Input'!$A$4:$A$9, OFFSET(B273, 1, 0, 5-MOD(ROW()-6, 6)), '💳 Debt Input'!$D$4:$D$9)), 0))), 2))</f>
        <v>0</v>
      </c>
      <c r="F273" s="66">
        <f t="shared" ca="1" si="9"/>
        <v>0</v>
      </c>
      <c r="G273" s="28" t="str">
        <f t="shared" ca="1" si="8"/>
        <v>Paid off</v>
      </c>
      <c r="H273" s="28"/>
    </row>
    <row r="274" spans="1:8" ht="18" customHeight="1" x14ac:dyDescent="0.35">
      <c r="A274" s="49"/>
      <c r="B274" s="6" t="str">
        <v>Rewards Visa</v>
      </c>
      <c r="C274" s="63">
        <f ca="1"/>
        <v>13047.76</v>
      </c>
      <c r="D274" s="63">
        <f ca="1">IF(B274="","", ROUND(C274 * (VLOOKUP(B274, '💳 Debt Input'!$A$4:$G$9, 3, FALSE) / 12), 2))</f>
        <v>391.43</v>
      </c>
      <c r="E274" s="63" cm="1">
        <f t="array" aca="1" ref="E274" ca="1">IF(B274="","", ROUND(MIN(C274+D274, MAX(VLOOKUP(B274,'💳 Debt Input'!$A$4:$G$9,4,FALSE), $F$3 - IFERROR(SUM(OFFSET(E274, -MOD(ROW()-6, 6), 0, MOD(ROW()-6, 6))), 0) - IFERROR(SUM(SUMIF('💳 Debt Input'!$A$4:$A$9, OFFSET(B274, 1, 0, 5-MOD(ROW()-6, 6)), '💳 Debt Input'!$D$4:$D$9)), 0))), 2))</f>
        <v>985</v>
      </c>
      <c r="F274" s="63">
        <f t="shared" ca="1" si="9"/>
        <v>12454.19</v>
      </c>
      <c r="G274" s="22" t="str">
        <f t="shared" ca="1" si="8"/>
        <v>Active</v>
      </c>
      <c r="H274" s="22"/>
    </row>
    <row r="275" spans="1:8" ht="18" customHeight="1" x14ac:dyDescent="0.35">
      <c r="A275" s="51">
        <v>45</v>
      </c>
      <c r="B275" s="56" t="str" cm="1">
        <f t="array" ref="B275:B280">B269:B274</f>
        <v>Store Card</v>
      </c>
      <c r="C275" s="65" cm="1">
        <f t="array" aca="1" ref="C275:C280" ca="1">F269:F274</f>
        <v>0</v>
      </c>
      <c r="D275" s="65">
        <f ca="1">IF(B275="","", ROUND(C275 * (VLOOKUP(B275, '💳 Debt Input'!$A$4:$G$9, 3, FALSE) / 12), 2))</f>
        <v>0</v>
      </c>
      <c r="E275" s="65" cm="1">
        <f t="array" aca="1" ref="E275" ca="1">IF(B275="","", ROUND(MIN(C275+D275, MAX(VLOOKUP(B275,'💳 Debt Input'!$A$4:$G$9,4,FALSE), $F$3 - IFERROR(SUM(OFFSET(E275, -MOD(ROW()-6, 6), 0, MOD(ROW()-6, 6))), 0) - IFERROR(SUM(SUMIF('💳 Debt Input'!$A$4:$A$9, OFFSET(B275, 1, 0, 5-MOD(ROW()-6, 6)), '💳 Debt Input'!$D$4:$D$9)), 0))), 2))</f>
        <v>0</v>
      </c>
      <c r="F275" s="65">
        <f t="shared" ca="1" si="9"/>
        <v>0</v>
      </c>
      <c r="G275" s="25" t="str">
        <f t="shared" ca="1" si="8"/>
        <v>Paid off</v>
      </c>
      <c r="H275" s="25"/>
    </row>
    <row r="276" spans="1:8" ht="18" customHeight="1" x14ac:dyDescent="0.35">
      <c r="A276" s="52"/>
      <c r="B276" s="26" t="str">
        <v>Medical Bill</v>
      </c>
      <c r="C276" s="66">
        <f ca="1"/>
        <v>0</v>
      </c>
      <c r="D276" s="66">
        <f ca="1">IF(B276="","", ROUND(C276 * (VLOOKUP(B276, '💳 Debt Input'!$A$4:$G$9, 3, FALSE) / 12), 2))</f>
        <v>0</v>
      </c>
      <c r="E276" s="66" cm="1">
        <f t="array" aca="1" ref="E276" ca="1">IF(B276="","", ROUND(MIN(C276+D276, MAX(VLOOKUP(B276,'💳 Debt Input'!$A$4:$G$9,4,FALSE), $F$3 - IFERROR(SUM(OFFSET(E276, -MOD(ROW()-6, 6), 0, MOD(ROW()-6, 6))), 0) - IFERROR(SUM(SUMIF('💳 Debt Input'!$A$4:$A$9, OFFSET(B276, 1, 0, 5-MOD(ROW()-6, 6)), '💳 Debt Input'!$D$4:$D$9)), 0))), 2))</f>
        <v>0</v>
      </c>
      <c r="F276" s="66">
        <f t="shared" ca="1" si="9"/>
        <v>0</v>
      </c>
      <c r="G276" s="28" t="str">
        <f t="shared" ca="1" si="8"/>
        <v>Paid off</v>
      </c>
      <c r="H276" s="28"/>
    </row>
    <row r="277" spans="1:8" ht="18" customHeight="1" x14ac:dyDescent="0.35">
      <c r="A277" s="52"/>
      <c r="B277" s="26" t="str">
        <v>Personal Loan</v>
      </c>
      <c r="C277" s="66">
        <f ca="1"/>
        <v>0</v>
      </c>
      <c r="D277" s="66">
        <f ca="1">IF(B277="","", ROUND(C277 * (VLOOKUP(B277, '💳 Debt Input'!$A$4:$G$9, 3, FALSE) / 12), 2))</f>
        <v>0</v>
      </c>
      <c r="E277" s="66" cm="1">
        <f t="array" aca="1" ref="E277" ca="1">IF(B277="","", ROUND(MIN(C277+D277, MAX(VLOOKUP(B277,'💳 Debt Input'!$A$4:$G$9,4,FALSE), $F$3 - IFERROR(SUM(OFFSET(E277, -MOD(ROW()-6, 6), 0, MOD(ROW()-6, 6))), 0) - IFERROR(SUM(SUMIF('💳 Debt Input'!$A$4:$A$9, OFFSET(B277, 1, 0, 5-MOD(ROW()-6, 6)), '💳 Debt Input'!$D$4:$D$9)), 0))), 2))</f>
        <v>0</v>
      </c>
      <c r="F277" s="66">
        <f t="shared" ca="1" si="9"/>
        <v>0</v>
      </c>
      <c r="G277" s="28" t="str">
        <f t="shared" ca="1" si="8"/>
        <v>Paid off</v>
      </c>
      <c r="H277" s="28"/>
    </row>
    <row r="278" spans="1:8" ht="18" customHeight="1" x14ac:dyDescent="0.35">
      <c r="A278" s="52"/>
      <c r="B278" s="26" t="str">
        <v>Auto Loan</v>
      </c>
      <c r="C278" s="66">
        <f ca="1"/>
        <v>0</v>
      </c>
      <c r="D278" s="66">
        <f ca="1">IF(B278="","", ROUND(C278 * (VLOOKUP(B278, '💳 Debt Input'!$A$4:$G$9, 3, FALSE) / 12), 2))</f>
        <v>0</v>
      </c>
      <c r="E278" s="66" cm="1">
        <f t="array" aca="1" ref="E278" ca="1">IF(B278="","", ROUND(MIN(C278+D278, MAX(VLOOKUP(B278,'💳 Debt Input'!$A$4:$G$9,4,FALSE), $F$3 - IFERROR(SUM(OFFSET(E278, -MOD(ROW()-6, 6), 0, MOD(ROW()-6, 6))), 0) - IFERROR(SUM(SUMIF('💳 Debt Input'!$A$4:$A$9, OFFSET(B278, 1, 0, 5-MOD(ROW()-6, 6)), '💳 Debt Input'!$D$4:$D$9)), 0))), 2))</f>
        <v>0</v>
      </c>
      <c r="F278" s="66">
        <f t="shared" ca="1" si="9"/>
        <v>0</v>
      </c>
      <c r="G278" s="28" t="str">
        <f t="shared" ca="1" si="8"/>
        <v>Paid off</v>
      </c>
      <c r="H278" s="28"/>
    </row>
    <row r="279" spans="1:8" ht="18" customHeight="1" x14ac:dyDescent="0.35">
      <c r="A279" s="52"/>
      <c r="B279" s="26" t="str">
        <v>Travel Card</v>
      </c>
      <c r="C279" s="66">
        <f ca="1"/>
        <v>0</v>
      </c>
      <c r="D279" s="66">
        <f ca="1">IF(B279="","", ROUND(C279 * (VLOOKUP(B279, '💳 Debt Input'!$A$4:$G$9, 3, FALSE) / 12), 2))</f>
        <v>0</v>
      </c>
      <c r="E279" s="66" cm="1">
        <f t="array" aca="1" ref="E279" ca="1">IF(B279="","", ROUND(MIN(C279+D279, MAX(VLOOKUP(B279,'💳 Debt Input'!$A$4:$G$9,4,FALSE), $F$3 - IFERROR(SUM(OFFSET(E279, -MOD(ROW()-6, 6), 0, MOD(ROW()-6, 6))), 0) - IFERROR(SUM(SUMIF('💳 Debt Input'!$A$4:$A$9, OFFSET(B279, 1, 0, 5-MOD(ROW()-6, 6)), '💳 Debt Input'!$D$4:$D$9)), 0))), 2))</f>
        <v>0</v>
      </c>
      <c r="F279" s="66">
        <f t="shared" ca="1" si="9"/>
        <v>0</v>
      </c>
      <c r="G279" s="28" t="str">
        <f t="shared" ca="1" si="8"/>
        <v>Paid off</v>
      </c>
      <c r="H279" s="28"/>
    </row>
    <row r="280" spans="1:8" ht="18" customHeight="1" x14ac:dyDescent="0.35">
      <c r="A280" s="47"/>
      <c r="B280" s="8" t="str">
        <v>Rewards Visa</v>
      </c>
      <c r="C280" s="61">
        <f ca="1"/>
        <v>12454.19</v>
      </c>
      <c r="D280" s="61">
        <f ca="1">IF(B280="","", ROUND(C280 * (VLOOKUP(B280, '💳 Debt Input'!$A$4:$G$9, 3, FALSE) / 12), 2))</f>
        <v>373.63</v>
      </c>
      <c r="E280" s="61" cm="1">
        <f t="array" aca="1" ref="E280" ca="1">IF(B280="","", ROUND(MIN(C280+D280, MAX(VLOOKUP(B280,'💳 Debt Input'!$A$4:$G$9,4,FALSE), $F$3 - IFERROR(SUM(OFFSET(E280, -MOD(ROW()-6, 6), 0, MOD(ROW()-6, 6))), 0) - IFERROR(SUM(SUMIF('💳 Debt Input'!$A$4:$A$9, OFFSET(B280, 1, 0, 5-MOD(ROW()-6, 6)), '💳 Debt Input'!$D$4:$D$9)), 0))), 2))</f>
        <v>985</v>
      </c>
      <c r="F280" s="61">
        <f t="shared" ca="1" si="9"/>
        <v>11842.82</v>
      </c>
      <c r="G280" s="19" t="str">
        <f t="shared" ca="1" si="8"/>
        <v>Active</v>
      </c>
      <c r="H280" s="19"/>
    </row>
    <row r="281" spans="1:8" ht="18" customHeight="1" x14ac:dyDescent="0.35">
      <c r="A281" s="51">
        <v>46</v>
      </c>
      <c r="B281" s="56" t="str" cm="1">
        <f t="array" ref="B281:B286">B275:B280</f>
        <v>Store Card</v>
      </c>
      <c r="C281" s="65" cm="1">
        <f t="array" aca="1" ref="C281:C286" ca="1">F275:F280</f>
        <v>0</v>
      </c>
      <c r="D281" s="65">
        <f ca="1">IF(B281="","", ROUND(C281 * (VLOOKUP(B281, '💳 Debt Input'!$A$4:$G$9, 3, FALSE) / 12), 2))</f>
        <v>0</v>
      </c>
      <c r="E281" s="65" cm="1">
        <f t="array" aca="1" ref="E281" ca="1">IF(B281="","", ROUND(MIN(C281+D281, MAX(VLOOKUP(B281,'💳 Debt Input'!$A$4:$G$9,4,FALSE), $F$3 - IFERROR(SUM(OFFSET(E281, -MOD(ROW()-6, 6), 0, MOD(ROW()-6, 6))), 0) - IFERROR(SUM(SUMIF('💳 Debt Input'!$A$4:$A$9, OFFSET(B281, 1, 0, 5-MOD(ROW()-6, 6)), '💳 Debt Input'!$D$4:$D$9)), 0))), 2))</f>
        <v>0</v>
      </c>
      <c r="F281" s="65">
        <f t="shared" ca="1" si="9"/>
        <v>0</v>
      </c>
      <c r="G281" s="25" t="str">
        <f t="shared" ca="1" si="8"/>
        <v>Paid off</v>
      </c>
      <c r="H281" s="25"/>
    </row>
    <row r="282" spans="1:8" ht="18" customHeight="1" x14ac:dyDescent="0.35">
      <c r="A282" s="52"/>
      <c r="B282" s="26" t="str">
        <v>Medical Bill</v>
      </c>
      <c r="C282" s="66">
        <f ca="1"/>
        <v>0</v>
      </c>
      <c r="D282" s="66">
        <f ca="1">IF(B282="","", ROUND(C282 * (VLOOKUP(B282, '💳 Debt Input'!$A$4:$G$9, 3, FALSE) / 12), 2))</f>
        <v>0</v>
      </c>
      <c r="E282" s="66" cm="1">
        <f t="array" aca="1" ref="E282" ca="1">IF(B282="","", ROUND(MIN(C282+D282, MAX(VLOOKUP(B282,'💳 Debt Input'!$A$4:$G$9,4,FALSE), $F$3 - IFERROR(SUM(OFFSET(E282, -MOD(ROW()-6, 6), 0, MOD(ROW()-6, 6))), 0) - IFERROR(SUM(SUMIF('💳 Debt Input'!$A$4:$A$9, OFFSET(B282, 1, 0, 5-MOD(ROW()-6, 6)), '💳 Debt Input'!$D$4:$D$9)), 0))), 2))</f>
        <v>0</v>
      </c>
      <c r="F282" s="66">
        <f t="shared" ca="1" si="9"/>
        <v>0</v>
      </c>
      <c r="G282" s="28" t="str">
        <f t="shared" ca="1" si="8"/>
        <v>Paid off</v>
      </c>
      <c r="H282" s="28"/>
    </row>
    <row r="283" spans="1:8" ht="18" customHeight="1" x14ac:dyDescent="0.35">
      <c r="A283" s="52"/>
      <c r="B283" s="26" t="str">
        <v>Personal Loan</v>
      </c>
      <c r="C283" s="66">
        <f ca="1"/>
        <v>0</v>
      </c>
      <c r="D283" s="66">
        <f ca="1">IF(B283="","", ROUND(C283 * (VLOOKUP(B283, '💳 Debt Input'!$A$4:$G$9, 3, FALSE) / 12), 2))</f>
        <v>0</v>
      </c>
      <c r="E283" s="66" cm="1">
        <f t="array" aca="1" ref="E283" ca="1">IF(B283="","", ROUND(MIN(C283+D283, MAX(VLOOKUP(B283,'💳 Debt Input'!$A$4:$G$9,4,FALSE), $F$3 - IFERROR(SUM(OFFSET(E283, -MOD(ROW()-6, 6), 0, MOD(ROW()-6, 6))), 0) - IFERROR(SUM(SUMIF('💳 Debt Input'!$A$4:$A$9, OFFSET(B283, 1, 0, 5-MOD(ROW()-6, 6)), '💳 Debt Input'!$D$4:$D$9)), 0))), 2))</f>
        <v>0</v>
      </c>
      <c r="F283" s="66">
        <f t="shared" ca="1" si="9"/>
        <v>0</v>
      </c>
      <c r="G283" s="28" t="str">
        <f t="shared" ca="1" si="8"/>
        <v>Paid off</v>
      </c>
      <c r="H283" s="28"/>
    </row>
    <row r="284" spans="1:8" ht="18" customHeight="1" x14ac:dyDescent="0.35">
      <c r="A284" s="52"/>
      <c r="B284" s="26" t="str">
        <v>Auto Loan</v>
      </c>
      <c r="C284" s="66">
        <f ca="1"/>
        <v>0</v>
      </c>
      <c r="D284" s="66">
        <f ca="1">IF(B284="","", ROUND(C284 * (VLOOKUP(B284, '💳 Debt Input'!$A$4:$G$9, 3, FALSE) / 12), 2))</f>
        <v>0</v>
      </c>
      <c r="E284" s="66" cm="1">
        <f t="array" aca="1" ref="E284" ca="1">IF(B284="","", ROUND(MIN(C284+D284, MAX(VLOOKUP(B284,'💳 Debt Input'!$A$4:$G$9,4,FALSE), $F$3 - IFERROR(SUM(OFFSET(E284, -MOD(ROW()-6, 6), 0, MOD(ROW()-6, 6))), 0) - IFERROR(SUM(SUMIF('💳 Debt Input'!$A$4:$A$9, OFFSET(B284, 1, 0, 5-MOD(ROW()-6, 6)), '💳 Debt Input'!$D$4:$D$9)), 0))), 2))</f>
        <v>0</v>
      </c>
      <c r="F284" s="66">
        <f t="shared" ca="1" si="9"/>
        <v>0</v>
      </c>
      <c r="G284" s="28" t="str">
        <f t="shared" ca="1" si="8"/>
        <v>Paid off</v>
      </c>
      <c r="H284" s="28"/>
    </row>
    <row r="285" spans="1:8" ht="18" customHeight="1" x14ac:dyDescent="0.35">
      <c r="A285" s="52"/>
      <c r="B285" s="26" t="str">
        <v>Travel Card</v>
      </c>
      <c r="C285" s="66">
        <f ca="1"/>
        <v>0</v>
      </c>
      <c r="D285" s="66">
        <f ca="1">IF(B285="","", ROUND(C285 * (VLOOKUP(B285, '💳 Debt Input'!$A$4:$G$9, 3, FALSE) / 12), 2))</f>
        <v>0</v>
      </c>
      <c r="E285" s="66" cm="1">
        <f t="array" aca="1" ref="E285" ca="1">IF(B285="","", ROUND(MIN(C285+D285, MAX(VLOOKUP(B285,'💳 Debt Input'!$A$4:$G$9,4,FALSE), $F$3 - IFERROR(SUM(OFFSET(E285, -MOD(ROW()-6, 6), 0, MOD(ROW()-6, 6))), 0) - IFERROR(SUM(SUMIF('💳 Debt Input'!$A$4:$A$9, OFFSET(B285, 1, 0, 5-MOD(ROW()-6, 6)), '💳 Debt Input'!$D$4:$D$9)), 0))), 2))</f>
        <v>0</v>
      </c>
      <c r="F285" s="66">
        <f t="shared" ca="1" si="9"/>
        <v>0</v>
      </c>
      <c r="G285" s="28" t="str">
        <f t="shared" ca="1" si="8"/>
        <v>Paid off</v>
      </c>
      <c r="H285" s="28"/>
    </row>
    <row r="286" spans="1:8" ht="18" customHeight="1" x14ac:dyDescent="0.35">
      <c r="A286" s="49"/>
      <c r="B286" s="6" t="str">
        <v>Rewards Visa</v>
      </c>
      <c r="C286" s="63">
        <f ca="1"/>
        <v>11842.82</v>
      </c>
      <c r="D286" s="63">
        <f ca="1">IF(B286="","", ROUND(C286 * (VLOOKUP(B286, '💳 Debt Input'!$A$4:$G$9, 3, FALSE) / 12), 2))</f>
        <v>355.28</v>
      </c>
      <c r="E286" s="63" cm="1">
        <f t="array" aca="1" ref="E286" ca="1">IF(B286="","", ROUND(MIN(C286+D286, MAX(VLOOKUP(B286,'💳 Debt Input'!$A$4:$G$9,4,FALSE), $F$3 - IFERROR(SUM(OFFSET(E286, -MOD(ROW()-6, 6), 0, MOD(ROW()-6, 6))), 0) - IFERROR(SUM(SUMIF('💳 Debt Input'!$A$4:$A$9, OFFSET(B286, 1, 0, 5-MOD(ROW()-6, 6)), '💳 Debt Input'!$D$4:$D$9)), 0))), 2))</f>
        <v>985</v>
      </c>
      <c r="F286" s="63">
        <f t="shared" ca="1" si="9"/>
        <v>11213.1</v>
      </c>
      <c r="G286" s="22" t="str">
        <f t="shared" ca="1" si="8"/>
        <v>Active</v>
      </c>
      <c r="H286" s="22"/>
    </row>
    <row r="287" spans="1:8" ht="18" customHeight="1" x14ac:dyDescent="0.35">
      <c r="A287" s="51">
        <v>47</v>
      </c>
      <c r="B287" s="56" t="str" cm="1">
        <f t="array" ref="B287:B292">B281:B286</f>
        <v>Store Card</v>
      </c>
      <c r="C287" s="65" cm="1">
        <f t="array" aca="1" ref="C287:C292" ca="1">F281:F286</f>
        <v>0</v>
      </c>
      <c r="D287" s="65">
        <f ca="1">IF(B287="","", ROUND(C287 * (VLOOKUP(B287, '💳 Debt Input'!$A$4:$G$9, 3, FALSE) / 12), 2))</f>
        <v>0</v>
      </c>
      <c r="E287" s="65" cm="1">
        <f t="array" aca="1" ref="E287" ca="1">IF(B287="","", ROUND(MIN(C287+D287, MAX(VLOOKUP(B287,'💳 Debt Input'!$A$4:$G$9,4,FALSE), $F$3 - IFERROR(SUM(OFFSET(E287, -MOD(ROW()-6, 6), 0, MOD(ROW()-6, 6))), 0) - IFERROR(SUM(SUMIF('💳 Debt Input'!$A$4:$A$9, OFFSET(B287, 1, 0, 5-MOD(ROW()-6, 6)), '💳 Debt Input'!$D$4:$D$9)), 0))), 2))</f>
        <v>0</v>
      </c>
      <c r="F287" s="65">
        <f t="shared" ca="1" si="9"/>
        <v>0</v>
      </c>
      <c r="G287" s="25" t="str">
        <f t="shared" ca="1" si="8"/>
        <v>Paid off</v>
      </c>
      <c r="H287" s="25"/>
    </row>
    <row r="288" spans="1:8" ht="18" customHeight="1" x14ac:dyDescent="0.35">
      <c r="A288" s="52"/>
      <c r="B288" s="26" t="str">
        <v>Medical Bill</v>
      </c>
      <c r="C288" s="66">
        <f ca="1"/>
        <v>0</v>
      </c>
      <c r="D288" s="66">
        <f ca="1">IF(B288="","", ROUND(C288 * (VLOOKUP(B288, '💳 Debt Input'!$A$4:$G$9, 3, FALSE) / 12), 2))</f>
        <v>0</v>
      </c>
      <c r="E288" s="66" cm="1">
        <f t="array" aca="1" ref="E288" ca="1">IF(B288="","", ROUND(MIN(C288+D288, MAX(VLOOKUP(B288,'💳 Debt Input'!$A$4:$G$9,4,FALSE), $F$3 - IFERROR(SUM(OFFSET(E288, -MOD(ROW()-6, 6), 0, MOD(ROW()-6, 6))), 0) - IFERROR(SUM(SUMIF('💳 Debt Input'!$A$4:$A$9, OFFSET(B288, 1, 0, 5-MOD(ROW()-6, 6)), '💳 Debt Input'!$D$4:$D$9)), 0))), 2))</f>
        <v>0</v>
      </c>
      <c r="F288" s="66">
        <f t="shared" ca="1" si="9"/>
        <v>0</v>
      </c>
      <c r="G288" s="28" t="str">
        <f t="shared" ca="1" si="8"/>
        <v>Paid off</v>
      </c>
      <c r="H288" s="28"/>
    </row>
    <row r="289" spans="1:8" ht="18" customHeight="1" x14ac:dyDescent="0.35">
      <c r="A289" s="52"/>
      <c r="B289" s="26" t="str">
        <v>Personal Loan</v>
      </c>
      <c r="C289" s="66">
        <f ca="1"/>
        <v>0</v>
      </c>
      <c r="D289" s="66">
        <f ca="1">IF(B289="","", ROUND(C289 * (VLOOKUP(B289, '💳 Debt Input'!$A$4:$G$9, 3, FALSE) / 12), 2))</f>
        <v>0</v>
      </c>
      <c r="E289" s="66" cm="1">
        <f t="array" aca="1" ref="E289" ca="1">IF(B289="","", ROUND(MIN(C289+D289, MAX(VLOOKUP(B289,'💳 Debt Input'!$A$4:$G$9,4,FALSE), $F$3 - IFERROR(SUM(OFFSET(E289, -MOD(ROW()-6, 6), 0, MOD(ROW()-6, 6))), 0) - IFERROR(SUM(SUMIF('💳 Debt Input'!$A$4:$A$9, OFFSET(B289, 1, 0, 5-MOD(ROW()-6, 6)), '💳 Debt Input'!$D$4:$D$9)), 0))), 2))</f>
        <v>0</v>
      </c>
      <c r="F289" s="66">
        <f t="shared" ca="1" si="9"/>
        <v>0</v>
      </c>
      <c r="G289" s="28" t="str">
        <f t="shared" ca="1" si="8"/>
        <v>Paid off</v>
      </c>
      <c r="H289" s="28"/>
    </row>
    <row r="290" spans="1:8" ht="18" customHeight="1" x14ac:dyDescent="0.35">
      <c r="A290" s="52"/>
      <c r="B290" s="26" t="str">
        <v>Auto Loan</v>
      </c>
      <c r="C290" s="66">
        <f ca="1"/>
        <v>0</v>
      </c>
      <c r="D290" s="66">
        <f ca="1">IF(B290="","", ROUND(C290 * (VLOOKUP(B290, '💳 Debt Input'!$A$4:$G$9, 3, FALSE) / 12), 2))</f>
        <v>0</v>
      </c>
      <c r="E290" s="66" cm="1">
        <f t="array" aca="1" ref="E290" ca="1">IF(B290="","", ROUND(MIN(C290+D290, MAX(VLOOKUP(B290,'💳 Debt Input'!$A$4:$G$9,4,FALSE), $F$3 - IFERROR(SUM(OFFSET(E290, -MOD(ROW()-6, 6), 0, MOD(ROW()-6, 6))), 0) - IFERROR(SUM(SUMIF('💳 Debt Input'!$A$4:$A$9, OFFSET(B290, 1, 0, 5-MOD(ROW()-6, 6)), '💳 Debt Input'!$D$4:$D$9)), 0))), 2))</f>
        <v>0</v>
      </c>
      <c r="F290" s="66">
        <f t="shared" ca="1" si="9"/>
        <v>0</v>
      </c>
      <c r="G290" s="28" t="str">
        <f t="shared" ca="1" si="8"/>
        <v>Paid off</v>
      </c>
      <c r="H290" s="28"/>
    </row>
    <row r="291" spans="1:8" ht="18" customHeight="1" x14ac:dyDescent="0.35">
      <c r="A291" s="52"/>
      <c r="B291" s="26" t="str">
        <v>Travel Card</v>
      </c>
      <c r="C291" s="66">
        <f ca="1"/>
        <v>0</v>
      </c>
      <c r="D291" s="66">
        <f ca="1">IF(B291="","", ROUND(C291 * (VLOOKUP(B291, '💳 Debt Input'!$A$4:$G$9, 3, FALSE) / 12), 2))</f>
        <v>0</v>
      </c>
      <c r="E291" s="66" cm="1">
        <f t="array" aca="1" ref="E291" ca="1">IF(B291="","", ROUND(MIN(C291+D291, MAX(VLOOKUP(B291,'💳 Debt Input'!$A$4:$G$9,4,FALSE), $F$3 - IFERROR(SUM(OFFSET(E291, -MOD(ROW()-6, 6), 0, MOD(ROW()-6, 6))), 0) - IFERROR(SUM(SUMIF('💳 Debt Input'!$A$4:$A$9, OFFSET(B291, 1, 0, 5-MOD(ROW()-6, 6)), '💳 Debt Input'!$D$4:$D$9)), 0))), 2))</f>
        <v>0</v>
      </c>
      <c r="F291" s="66">
        <f t="shared" ca="1" si="9"/>
        <v>0</v>
      </c>
      <c r="G291" s="28" t="str">
        <f t="shared" ca="1" si="8"/>
        <v>Paid off</v>
      </c>
      <c r="H291" s="28"/>
    </row>
    <row r="292" spans="1:8" ht="18" customHeight="1" x14ac:dyDescent="0.35">
      <c r="A292" s="47"/>
      <c r="B292" s="8" t="str">
        <v>Rewards Visa</v>
      </c>
      <c r="C292" s="61">
        <f ca="1"/>
        <v>11213.1</v>
      </c>
      <c r="D292" s="61">
        <f ca="1">IF(B292="","", ROUND(C292 * (VLOOKUP(B292, '💳 Debt Input'!$A$4:$G$9, 3, FALSE) / 12), 2))</f>
        <v>336.39</v>
      </c>
      <c r="E292" s="61" cm="1">
        <f t="array" aca="1" ref="E292" ca="1">IF(B292="","", ROUND(MIN(C292+D292, MAX(VLOOKUP(B292,'💳 Debt Input'!$A$4:$G$9,4,FALSE), $F$3 - IFERROR(SUM(OFFSET(E292, -MOD(ROW()-6, 6), 0, MOD(ROW()-6, 6))), 0) - IFERROR(SUM(SUMIF('💳 Debt Input'!$A$4:$A$9, OFFSET(B292, 1, 0, 5-MOD(ROW()-6, 6)), '💳 Debt Input'!$D$4:$D$9)), 0))), 2))</f>
        <v>985</v>
      </c>
      <c r="F292" s="61">
        <f t="shared" ca="1" si="9"/>
        <v>10564.49</v>
      </c>
      <c r="G292" s="19" t="str">
        <f t="shared" ca="1" si="8"/>
        <v>Active</v>
      </c>
      <c r="H292" s="19"/>
    </row>
    <row r="293" spans="1:8" ht="18" customHeight="1" x14ac:dyDescent="0.35">
      <c r="A293" s="51">
        <v>48</v>
      </c>
      <c r="B293" s="56" t="str" cm="1">
        <f t="array" ref="B293:B298">B287:B292</f>
        <v>Store Card</v>
      </c>
      <c r="C293" s="65" cm="1">
        <f t="array" aca="1" ref="C293:C298" ca="1">F287:F292</f>
        <v>0</v>
      </c>
      <c r="D293" s="65">
        <f ca="1">IF(B293="","", ROUND(C293 * (VLOOKUP(B293, '💳 Debt Input'!$A$4:$G$9, 3, FALSE) / 12), 2))</f>
        <v>0</v>
      </c>
      <c r="E293" s="65" cm="1">
        <f t="array" aca="1" ref="E293" ca="1">IF(B293="","", ROUND(MIN(C293+D293, MAX(VLOOKUP(B293,'💳 Debt Input'!$A$4:$G$9,4,FALSE), $F$3 - IFERROR(SUM(OFFSET(E293, -MOD(ROW()-6, 6), 0, MOD(ROW()-6, 6))), 0) - IFERROR(SUM(SUMIF('💳 Debt Input'!$A$4:$A$9, OFFSET(B293, 1, 0, 5-MOD(ROW()-6, 6)), '💳 Debt Input'!$D$4:$D$9)), 0))), 2))</f>
        <v>0</v>
      </c>
      <c r="F293" s="65">
        <f t="shared" ca="1" si="9"/>
        <v>0</v>
      </c>
      <c r="G293" s="25" t="str">
        <f t="shared" ca="1" si="8"/>
        <v>Paid off</v>
      </c>
      <c r="H293" s="25"/>
    </row>
    <row r="294" spans="1:8" ht="18" customHeight="1" x14ac:dyDescent="0.35">
      <c r="A294" s="52"/>
      <c r="B294" s="26" t="str">
        <v>Medical Bill</v>
      </c>
      <c r="C294" s="66">
        <f ca="1"/>
        <v>0</v>
      </c>
      <c r="D294" s="66">
        <f ca="1">IF(B294="","", ROUND(C294 * (VLOOKUP(B294, '💳 Debt Input'!$A$4:$G$9, 3, FALSE) / 12), 2))</f>
        <v>0</v>
      </c>
      <c r="E294" s="66" cm="1">
        <f t="array" aca="1" ref="E294" ca="1">IF(B294="","", ROUND(MIN(C294+D294, MAX(VLOOKUP(B294,'💳 Debt Input'!$A$4:$G$9,4,FALSE), $F$3 - IFERROR(SUM(OFFSET(E294, -MOD(ROW()-6, 6), 0, MOD(ROW()-6, 6))), 0) - IFERROR(SUM(SUMIF('💳 Debt Input'!$A$4:$A$9, OFFSET(B294, 1, 0, 5-MOD(ROW()-6, 6)), '💳 Debt Input'!$D$4:$D$9)), 0))), 2))</f>
        <v>0</v>
      </c>
      <c r="F294" s="66">
        <f t="shared" ca="1" si="9"/>
        <v>0</v>
      </c>
      <c r="G294" s="28" t="str">
        <f t="shared" ca="1" si="8"/>
        <v>Paid off</v>
      </c>
      <c r="H294" s="28"/>
    </row>
    <row r="295" spans="1:8" ht="18" customHeight="1" x14ac:dyDescent="0.35">
      <c r="A295" s="52"/>
      <c r="B295" s="26" t="str">
        <v>Personal Loan</v>
      </c>
      <c r="C295" s="66">
        <f ca="1"/>
        <v>0</v>
      </c>
      <c r="D295" s="66">
        <f ca="1">IF(B295="","", ROUND(C295 * (VLOOKUP(B295, '💳 Debt Input'!$A$4:$G$9, 3, FALSE) / 12), 2))</f>
        <v>0</v>
      </c>
      <c r="E295" s="66" cm="1">
        <f t="array" aca="1" ref="E295" ca="1">IF(B295="","", ROUND(MIN(C295+D295, MAX(VLOOKUP(B295,'💳 Debt Input'!$A$4:$G$9,4,FALSE), $F$3 - IFERROR(SUM(OFFSET(E295, -MOD(ROW()-6, 6), 0, MOD(ROW()-6, 6))), 0) - IFERROR(SUM(SUMIF('💳 Debt Input'!$A$4:$A$9, OFFSET(B295, 1, 0, 5-MOD(ROW()-6, 6)), '💳 Debt Input'!$D$4:$D$9)), 0))), 2))</f>
        <v>0</v>
      </c>
      <c r="F295" s="66">
        <f t="shared" ca="1" si="9"/>
        <v>0</v>
      </c>
      <c r="G295" s="28" t="str">
        <f t="shared" ca="1" si="8"/>
        <v>Paid off</v>
      </c>
      <c r="H295" s="28"/>
    </row>
    <row r="296" spans="1:8" ht="18" customHeight="1" x14ac:dyDescent="0.35">
      <c r="A296" s="52"/>
      <c r="B296" s="26" t="str">
        <v>Auto Loan</v>
      </c>
      <c r="C296" s="66">
        <f ca="1"/>
        <v>0</v>
      </c>
      <c r="D296" s="66">
        <f ca="1">IF(B296="","", ROUND(C296 * (VLOOKUP(B296, '💳 Debt Input'!$A$4:$G$9, 3, FALSE) / 12), 2))</f>
        <v>0</v>
      </c>
      <c r="E296" s="66" cm="1">
        <f t="array" aca="1" ref="E296" ca="1">IF(B296="","", ROUND(MIN(C296+D296, MAX(VLOOKUP(B296,'💳 Debt Input'!$A$4:$G$9,4,FALSE), $F$3 - IFERROR(SUM(OFFSET(E296, -MOD(ROW()-6, 6), 0, MOD(ROW()-6, 6))), 0) - IFERROR(SUM(SUMIF('💳 Debt Input'!$A$4:$A$9, OFFSET(B296, 1, 0, 5-MOD(ROW()-6, 6)), '💳 Debt Input'!$D$4:$D$9)), 0))), 2))</f>
        <v>0</v>
      </c>
      <c r="F296" s="66">
        <f t="shared" ca="1" si="9"/>
        <v>0</v>
      </c>
      <c r="G296" s="28" t="str">
        <f t="shared" ca="1" si="8"/>
        <v>Paid off</v>
      </c>
      <c r="H296" s="28"/>
    </row>
    <row r="297" spans="1:8" ht="18" customHeight="1" x14ac:dyDescent="0.35">
      <c r="A297" s="52"/>
      <c r="B297" s="26" t="str">
        <v>Travel Card</v>
      </c>
      <c r="C297" s="66">
        <f ca="1"/>
        <v>0</v>
      </c>
      <c r="D297" s="66">
        <f ca="1">IF(B297="","", ROUND(C297 * (VLOOKUP(B297, '💳 Debt Input'!$A$4:$G$9, 3, FALSE) / 12), 2))</f>
        <v>0</v>
      </c>
      <c r="E297" s="66" cm="1">
        <f t="array" aca="1" ref="E297" ca="1">IF(B297="","", ROUND(MIN(C297+D297, MAX(VLOOKUP(B297,'💳 Debt Input'!$A$4:$G$9,4,FALSE), $F$3 - IFERROR(SUM(OFFSET(E297, -MOD(ROW()-6, 6), 0, MOD(ROW()-6, 6))), 0) - IFERROR(SUM(SUMIF('💳 Debt Input'!$A$4:$A$9, OFFSET(B297, 1, 0, 5-MOD(ROW()-6, 6)), '💳 Debt Input'!$D$4:$D$9)), 0))), 2))</f>
        <v>0</v>
      </c>
      <c r="F297" s="66">
        <f t="shared" ca="1" si="9"/>
        <v>0</v>
      </c>
      <c r="G297" s="28" t="str">
        <f t="shared" ca="1" si="8"/>
        <v>Paid off</v>
      </c>
      <c r="H297" s="28"/>
    </row>
    <row r="298" spans="1:8" ht="18" customHeight="1" x14ac:dyDescent="0.35">
      <c r="A298" s="49"/>
      <c r="B298" s="6" t="str">
        <v>Rewards Visa</v>
      </c>
      <c r="C298" s="63">
        <f ca="1"/>
        <v>10564.49</v>
      </c>
      <c r="D298" s="63">
        <f ca="1">IF(B298="","", ROUND(C298 * (VLOOKUP(B298, '💳 Debt Input'!$A$4:$G$9, 3, FALSE) / 12), 2))</f>
        <v>316.93</v>
      </c>
      <c r="E298" s="63" cm="1">
        <f t="array" aca="1" ref="E298" ca="1">IF(B298="","", ROUND(MIN(C298+D298, MAX(VLOOKUP(B298,'💳 Debt Input'!$A$4:$G$9,4,FALSE), $F$3 - IFERROR(SUM(OFFSET(E298, -MOD(ROW()-6, 6), 0, MOD(ROW()-6, 6))), 0) - IFERROR(SUM(SUMIF('💳 Debt Input'!$A$4:$A$9, OFFSET(B298, 1, 0, 5-MOD(ROW()-6, 6)), '💳 Debt Input'!$D$4:$D$9)), 0))), 2))</f>
        <v>985</v>
      </c>
      <c r="F298" s="63">
        <f t="shared" ca="1" si="9"/>
        <v>9896.42</v>
      </c>
      <c r="G298" s="22" t="str">
        <f t="shared" ca="1" si="8"/>
        <v>Active</v>
      </c>
      <c r="H298" s="22"/>
    </row>
    <row r="299" spans="1:8" ht="18" customHeight="1" x14ac:dyDescent="0.35">
      <c r="A299" s="51">
        <v>49</v>
      </c>
      <c r="B299" s="56" t="str" cm="1">
        <f t="array" ref="B299:B304">B293:B298</f>
        <v>Store Card</v>
      </c>
      <c r="C299" s="65" cm="1">
        <f t="array" aca="1" ref="C299:C304" ca="1">F293:F298</f>
        <v>0</v>
      </c>
      <c r="D299" s="65">
        <f ca="1">IF(B299="","", ROUND(C299 * (VLOOKUP(B299, '💳 Debt Input'!$A$4:$G$9, 3, FALSE) / 12), 2))</f>
        <v>0</v>
      </c>
      <c r="E299" s="65" cm="1">
        <f t="array" aca="1" ref="E299" ca="1">IF(B299="","", ROUND(MIN(C299+D299, MAX(VLOOKUP(B299,'💳 Debt Input'!$A$4:$G$9,4,FALSE), $F$3 - IFERROR(SUM(OFFSET(E299, -MOD(ROW()-6, 6), 0, MOD(ROW()-6, 6))), 0) - IFERROR(SUM(SUMIF('💳 Debt Input'!$A$4:$A$9, OFFSET(B299, 1, 0, 5-MOD(ROW()-6, 6)), '💳 Debt Input'!$D$4:$D$9)), 0))), 2))</f>
        <v>0</v>
      </c>
      <c r="F299" s="65">
        <f t="shared" ca="1" si="9"/>
        <v>0</v>
      </c>
      <c r="G299" s="25" t="str">
        <f t="shared" ca="1" si="8"/>
        <v>Paid off</v>
      </c>
      <c r="H299" s="25"/>
    </row>
    <row r="300" spans="1:8" ht="18" customHeight="1" x14ac:dyDescent="0.35">
      <c r="A300" s="52"/>
      <c r="B300" s="26" t="str">
        <v>Medical Bill</v>
      </c>
      <c r="C300" s="66">
        <f ca="1"/>
        <v>0</v>
      </c>
      <c r="D300" s="66">
        <f ca="1">IF(B300="","", ROUND(C300 * (VLOOKUP(B300, '💳 Debt Input'!$A$4:$G$9, 3, FALSE) / 12), 2))</f>
        <v>0</v>
      </c>
      <c r="E300" s="66" cm="1">
        <f t="array" aca="1" ref="E300" ca="1">IF(B300="","", ROUND(MIN(C300+D300, MAX(VLOOKUP(B300,'💳 Debt Input'!$A$4:$G$9,4,FALSE), $F$3 - IFERROR(SUM(OFFSET(E300, -MOD(ROW()-6, 6), 0, MOD(ROW()-6, 6))), 0) - IFERROR(SUM(SUMIF('💳 Debt Input'!$A$4:$A$9, OFFSET(B300, 1, 0, 5-MOD(ROW()-6, 6)), '💳 Debt Input'!$D$4:$D$9)), 0))), 2))</f>
        <v>0</v>
      </c>
      <c r="F300" s="66">
        <f t="shared" ca="1" si="9"/>
        <v>0</v>
      </c>
      <c r="G300" s="28" t="str">
        <f t="shared" ca="1" si="8"/>
        <v>Paid off</v>
      </c>
      <c r="H300" s="28"/>
    </row>
    <row r="301" spans="1:8" ht="18" customHeight="1" x14ac:dyDescent="0.35">
      <c r="A301" s="52"/>
      <c r="B301" s="26" t="str">
        <v>Personal Loan</v>
      </c>
      <c r="C301" s="66">
        <f ca="1"/>
        <v>0</v>
      </c>
      <c r="D301" s="66">
        <f ca="1">IF(B301="","", ROUND(C301 * (VLOOKUP(B301, '💳 Debt Input'!$A$4:$G$9, 3, FALSE) / 12), 2))</f>
        <v>0</v>
      </c>
      <c r="E301" s="66" cm="1">
        <f t="array" aca="1" ref="E301" ca="1">IF(B301="","", ROUND(MIN(C301+D301, MAX(VLOOKUP(B301,'💳 Debt Input'!$A$4:$G$9,4,FALSE), $F$3 - IFERROR(SUM(OFFSET(E301, -MOD(ROW()-6, 6), 0, MOD(ROW()-6, 6))), 0) - IFERROR(SUM(SUMIF('💳 Debt Input'!$A$4:$A$9, OFFSET(B301, 1, 0, 5-MOD(ROW()-6, 6)), '💳 Debt Input'!$D$4:$D$9)), 0))), 2))</f>
        <v>0</v>
      </c>
      <c r="F301" s="66">
        <f t="shared" ca="1" si="9"/>
        <v>0</v>
      </c>
      <c r="G301" s="28" t="str">
        <f t="shared" ca="1" si="8"/>
        <v>Paid off</v>
      </c>
      <c r="H301" s="28"/>
    </row>
    <row r="302" spans="1:8" ht="18" customHeight="1" x14ac:dyDescent="0.35">
      <c r="A302" s="52"/>
      <c r="B302" s="26" t="str">
        <v>Auto Loan</v>
      </c>
      <c r="C302" s="66">
        <f ca="1"/>
        <v>0</v>
      </c>
      <c r="D302" s="66">
        <f ca="1">IF(B302="","", ROUND(C302 * (VLOOKUP(B302, '💳 Debt Input'!$A$4:$G$9, 3, FALSE) / 12), 2))</f>
        <v>0</v>
      </c>
      <c r="E302" s="66" cm="1">
        <f t="array" aca="1" ref="E302" ca="1">IF(B302="","", ROUND(MIN(C302+D302, MAX(VLOOKUP(B302,'💳 Debt Input'!$A$4:$G$9,4,FALSE), $F$3 - IFERROR(SUM(OFFSET(E302, -MOD(ROW()-6, 6), 0, MOD(ROW()-6, 6))), 0) - IFERROR(SUM(SUMIF('💳 Debt Input'!$A$4:$A$9, OFFSET(B302, 1, 0, 5-MOD(ROW()-6, 6)), '💳 Debt Input'!$D$4:$D$9)), 0))), 2))</f>
        <v>0</v>
      </c>
      <c r="F302" s="66">
        <f t="shared" ca="1" si="9"/>
        <v>0</v>
      </c>
      <c r="G302" s="28" t="str">
        <f t="shared" ca="1" si="8"/>
        <v>Paid off</v>
      </c>
      <c r="H302" s="28"/>
    </row>
    <row r="303" spans="1:8" ht="18" customHeight="1" x14ac:dyDescent="0.35">
      <c r="A303" s="52"/>
      <c r="B303" s="26" t="str">
        <v>Travel Card</v>
      </c>
      <c r="C303" s="66">
        <f ca="1"/>
        <v>0</v>
      </c>
      <c r="D303" s="66">
        <f ca="1">IF(B303="","", ROUND(C303 * (VLOOKUP(B303, '💳 Debt Input'!$A$4:$G$9, 3, FALSE) / 12), 2))</f>
        <v>0</v>
      </c>
      <c r="E303" s="66" cm="1">
        <f t="array" aca="1" ref="E303" ca="1">IF(B303="","", ROUND(MIN(C303+D303, MAX(VLOOKUP(B303,'💳 Debt Input'!$A$4:$G$9,4,FALSE), $F$3 - IFERROR(SUM(OFFSET(E303, -MOD(ROW()-6, 6), 0, MOD(ROW()-6, 6))), 0) - IFERROR(SUM(SUMIF('💳 Debt Input'!$A$4:$A$9, OFFSET(B303, 1, 0, 5-MOD(ROW()-6, 6)), '💳 Debt Input'!$D$4:$D$9)), 0))), 2))</f>
        <v>0</v>
      </c>
      <c r="F303" s="66">
        <f t="shared" ca="1" si="9"/>
        <v>0</v>
      </c>
      <c r="G303" s="28" t="str">
        <f t="shared" ca="1" si="8"/>
        <v>Paid off</v>
      </c>
      <c r="H303" s="28"/>
    </row>
    <row r="304" spans="1:8" ht="18" customHeight="1" x14ac:dyDescent="0.35">
      <c r="A304" s="47"/>
      <c r="B304" s="8" t="str">
        <v>Rewards Visa</v>
      </c>
      <c r="C304" s="61">
        <f ca="1"/>
        <v>9896.42</v>
      </c>
      <c r="D304" s="61">
        <f ca="1">IF(B304="","", ROUND(C304 * (VLOOKUP(B304, '💳 Debt Input'!$A$4:$G$9, 3, FALSE) / 12), 2))</f>
        <v>296.89</v>
      </c>
      <c r="E304" s="61" cm="1">
        <f t="array" aca="1" ref="E304" ca="1">IF(B304="","", ROUND(MIN(C304+D304, MAX(VLOOKUP(B304,'💳 Debt Input'!$A$4:$G$9,4,FALSE), $F$3 - IFERROR(SUM(OFFSET(E304, -MOD(ROW()-6, 6), 0, MOD(ROW()-6, 6))), 0) - IFERROR(SUM(SUMIF('💳 Debt Input'!$A$4:$A$9, OFFSET(B304, 1, 0, 5-MOD(ROW()-6, 6)), '💳 Debt Input'!$D$4:$D$9)), 0))), 2))</f>
        <v>985</v>
      </c>
      <c r="F304" s="61">
        <f t="shared" ca="1" si="9"/>
        <v>9208.31</v>
      </c>
      <c r="G304" s="19" t="str">
        <f t="shared" ca="1" si="8"/>
        <v>Active</v>
      </c>
      <c r="H304" s="19"/>
    </row>
    <row r="305" spans="1:8" ht="18" customHeight="1" x14ac:dyDescent="0.35">
      <c r="A305" s="51">
        <v>50</v>
      </c>
      <c r="B305" s="56" t="str" cm="1">
        <f t="array" ref="B305:B310">B299:B304</f>
        <v>Store Card</v>
      </c>
      <c r="C305" s="65" cm="1">
        <f t="array" aca="1" ref="C305:C310" ca="1">F299:F304</f>
        <v>0</v>
      </c>
      <c r="D305" s="65">
        <f ca="1">IF(B305="","", ROUND(C305 * (VLOOKUP(B305, '💳 Debt Input'!$A$4:$G$9, 3, FALSE) / 12), 2))</f>
        <v>0</v>
      </c>
      <c r="E305" s="65" cm="1">
        <f t="array" aca="1" ref="E305" ca="1">IF(B305="","", ROUND(MIN(C305+D305, MAX(VLOOKUP(B305,'💳 Debt Input'!$A$4:$G$9,4,FALSE), $F$3 - IFERROR(SUM(OFFSET(E305, -MOD(ROW()-6, 6), 0, MOD(ROW()-6, 6))), 0) - IFERROR(SUM(SUMIF('💳 Debt Input'!$A$4:$A$9, OFFSET(B305, 1, 0, 5-MOD(ROW()-6, 6)), '💳 Debt Input'!$D$4:$D$9)), 0))), 2))</f>
        <v>0</v>
      </c>
      <c r="F305" s="65">
        <f t="shared" ca="1" si="9"/>
        <v>0</v>
      </c>
      <c r="G305" s="25" t="str">
        <f t="shared" ca="1" si="8"/>
        <v>Paid off</v>
      </c>
      <c r="H305" s="25"/>
    </row>
    <row r="306" spans="1:8" ht="18" customHeight="1" x14ac:dyDescent="0.35">
      <c r="A306" s="52"/>
      <c r="B306" s="26" t="str">
        <v>Medical Bill</v>
      </c>
      <c r="C306" s="66">
        <f ca="1"/>
        <v>0</v>
      </c>
      <c r="D306" s="66">
        <f ca="1">IF(B306="","", ROUND(C306 * (VLOOKUP(B306, '💳 Debt Input'!$A$4:$G$9, 3, FALSE) / 12), 2))</f>
        <v>0</v>
      </c>
      <c r="E306" s="66" cm="1">
        <f t="array" aca="1" ref="E306" ca="1">IF(B306="","", ROUND(MIN(C306+D306, MAX(VLOOKUP(B306,'💳 Debt Input'!$A$4:$G$9,4,FALSE), $F$3 - IFERROR(SUM(OFFSET(E306, -MOD(ROW()-6, 6), 0, MOD(ROW()-6, 6))), 0) - IFERROR(SUM(SUMIF('💳 Debt Input'!$A$4:$A$9, OFFSET(B306, 1, 0, 5-MOD(ROW()-6, 6)), '💳 Debt Input'!$D$4:$D$9)), 0))), 2))</f>
        <v>0</v>
      </c>
      <c r="F306" s="66">
        <f t="shared" ca="1" si="9"/>
        <v>0</v>
      </c>
      <c r="G306" s="28" t="str">
        <f t="shared" ca="1" si="8"/>
        <v>Paid off</v>
      </c>
      <c r="H306" s="28"/>
    </row>
    <row r="307" spans="1:8" ht="18" customHeight="1" x14ac:dyDescent="0.35">
      <c r="A307" s="52"/>
      <c r="B307" s="26" t="str">
        <v>Personal Loan</v>
      </c>
      <c r="C307" s="66">
        <f ca="1"/>
        <v>0</v>
      </c>
      <c r="D307" s="66">
        <f ca="1">IF(B307="","", ROUND(C307 * (VLOOKUP(B307, '💳 Debt Input'!$A$4:$G$9, 3, FALSE) / 12), 2))</f>
        <v>0</v>
      </c>
      <c r="E307" s="66" cm="1">
        <f t="array" aca="1" ref="E307" ca="1">IF(B307="","", ROUND(MIN(C307+D307, MAX(VLOOKUP(B307,'💳 Debt Input'!$A$4:$G$9,4,FALSE), $F$3 - IFERROR(SUM(OFFSET(E307, -MOD(ROW()-6, 6), 0, MOD(ROW()-6, 6))), 0) - IFERROR(SUM(SUMIF('💳 Debt Input'!$A$4:$A$9, OFFSET(B307, 1, 0, 5-MOD(ROW()-6, 6)), '💳 Debt Input'!$D$4:$D$9)), 0))), 2))</f>
        <v>0</v>
      </c>
      <c r="F307" s="66">
        <f t="shared" ca="1" si="9"/>
        <v>0</v>
      </c>
      <c r="G307" s="28" t="str">
        <f t="shared" ca="1" si="8"/>
        <v>Paid off</v>
      </c>
      <c r="H307" s="28"/>
    </row>
    <row r="308" spans="1:8" ht="18" customHeight="1" x14ac:dyDescent="0.35">
      <c r="A308" s="52"/>
      <c r="B308" s="26" t="str">
        <v>Auto Loan</v>
      </c>
      <c r="C308" s="66">
        <f ca="1"/>
        <v>0</v>
      </c>
      <c r="D308" s="66">
        <f ca="1">IF(B308="","", ROUND(C308 * (VLOOKUP(B308, '💳 Debt Input'!$A$4:$G$9, 3, FALSE) / 12), 2))</f>
        <v>0</v>
      </c>
      <c r="E308" s="66" cm="1">
        <f t="array" aca="1" ref="E308" ca="1">IF(B308="","", ROUND(MIN(C308+D308, MAX(VLOOKUP(B308,'💳 Debt Input'!$A$4:$G$9,4,FALSE), $F$3 - IFERROR(SUM(OFFSET(E308, -MOD(ROW()-6, 6), 0, MOD(ROW()-6, 6))), 0) - IFERROR(SUM(SUMIF('💳 Debt Input'!$A$4:$A$9, OFFSET(B308, 1, 0, 5-MOD(ROW()-6, 6)), '💳 Debt Input'!$D$4:$D$9)), 0))), 2))</f>
        <v>0</v>
      </c>
      <c r="F308" s="66">
        <f t="shared" ca="1" si="9"/>
        <v>0</v>
      </c>
      <c r="G308" s="28" t="str">
        <f t="shared" ca="1" si="8"/>
        <v>Paid off</v>
      </c>
      <c r="H308" s="28"/>
    </row>
    <row r="309" spans="1:8" ht="18" customHeight="1" x14ac:dyDescent="0.35">
      <c r="A309" s="52"/>
      <c r="B309" s="26" t="str">
        <v>Travel Card</v>
      </c>
      <c r="C309" s="66">
        <f ca="1"/>
        <v>0</v>
      </c>
      <c r="D309" s="66">
        <f ca="1">IF(B309="","", ROUND(C309 * (VLOOKUP(B309, '💳 Debt Input'!$A$4:$G$9, 3, FALSE) / 12), 2))</f>
        <v>0</v>
      </c>
      <c r="E309" s="66" cm="1">
        <f t="array" aca="1" ref="E309" ca="1">IF(B309="","", ROUND(MIN(C309+D309, MAX(VLOOKUP(B309,'💳 Debt Input'!$A$4:$G$9,4,FALSE), $F$3 - IFERROR(SUM(OFFSET(E309, -MOD(ROW()-6, 6), 0, MOD(ROW()-6, 6))), 0) - IFERROR(SUM(SUMIF('💳 Debt Input'!$A$4:$A$9, OFFSET(B309, 1, 0, 5-MOD(ROW()-6, 6)), '💳 Debt Input'!$D$4:$D$9)), 0))), 2))</f>
        <v>0</v>
      </c>
      <c r="F309" s="66">
        <f t="shared" ca="1" si="9"/>
        <v>0</v>
      </c>
      <c r="G309" s="28" t="str">
        <f t="shared" ca="1" si="8"/>
        <v>Paid off</v>
      </c>
      <c r="H309" s="28"/>
    </row>
    <row r="310" spans="1:8" ht="18" customHeight="1" x14ac:dyDescent="0.35">
      <c r="A310" s="49"/>
      <c r="B310" s="6" t="str">
        <v>Rewards Visa</v>
      </c>
      <c r="C310" s="63">
        <f ca="1"/>
        <v>9208.31</v>
      </c>
      <c r="D310" s="63">
        <f ca="1">IF(B310="","", ROUND(C310 * (VLOOKUP(B310, '💳 Debt Input'!$A$4:$G$9, 3, FALSE) / 12), 2))</f>
        <v>276.25</v>
      </c>
      <c r="E310" s="63" cm="1">
        <f t="array" aca="1" ref="E310" ca="1">IF(B310="","", ROUND(MIN(C310+D310, MAX(VLOOKUP(B310,'💳 Debt Input'!$A$4:$G$9,4,FALSE), $F$3 - IFERROR(SUM(OFFSET(E310, -MOD(ROW()-6, 6), 0, MOD(ROW()-6, 6))), 0) - IFERROR(SUM(SUMIF('💳 Debt Input'!$A$4:$A$9, OFFSET(B310, 1, 0, 5-MOD(ROW()-6, 6)), '💳 Debt Input'!$D$4:$D$9)), 0))), 2))</f>
        <v>985</v>
      </c>
      <c r="F310" s="63">
        <f t="shared" ca="1" si="9"/>
        <v>8499.56</v>
      </c>
      <c r="G310" s="22" t="str">
        <f t="shared" ca="1" si="8"/>
        <v>Active</v>
      </c>
      <c r="H310" s="22"/>
    </row>
    <row r="311" spans="1:8" ht="18" customHeight="1" x14ac:dyDescent="0.35">
      <c r="A311" s="51">
        <v>51</v>
      </c>
      <c r="B311" s="56" t="str" cm="1">
        <f t="array" ref="B311:B316">B305:B310</f>
        <v>Store Card</v>
      </c>
      <c r="C311" s="65" cm="1">
        <f t="array" aca="1" ref="C311:C316" ca="1">F305:F310</f>
        <v>0</v>
      </c>
      <c r="D311" s="65">
        <f ca="1">IF(B311="","", ROUND(C311 * (VLOOKUP(B311, '💳 Debt Input'!$A$4:$G$9, 3, FALSE) / 12), 2))</f>
        <v>0</v>
      </c>
      <c r="E311" s="65" cm="1">
        <f t="array" aca="1" ref="E311" ca="1">IF(B311="","", ROUND(MIN(C311+D311, MAX(VLOOKUP(B311,'💳 Debt Input'!$A$4:$G$9,4,FALSE), $F$3 - IFERROR(SUM(OFFSET(E311, -MOD(ROW()-6, 6), 0, MOD(ROW()-6, 6))), 0) - IFERROR(SUM(SUMIF('💳 Debt Input'!$A$4:$A$9, OFFSET(B311, 1, 0, 5-MOD(ROW()-6, 6)), '💳 Debt Input'!$D$4:$D$9)), 0))), 2))</f>
        <v>0</v>
      </c>
      <c r="F311" s="65">
        <f t="shared" ca="1" si="9"/>
        <v>0</v>
      </c>
      <c r="G311" s="25" t="str">
        <f t="shared" ca="1" si="8"/>
        <v>Paid off</v>
      </c>
      <c r="H311" s="25"/>
    </row>
    <row r="312" spans="1:8" ht="18" customHeight="1" x14ac:dyDescent="0.35">
      <c r="A312" s="52"/>
      <c r="B312" s="26" t="str">
        <v>Medical Bill</v>
      </c>
      <c r="C312" s="66">
        <f ca="1"/>
        <v>0</v>
      </c>
      <c r="D312" s="66">
        <f ca="1">IF(B312="","", ROUND(C312 * (VLOOKUP(B312, '💳 Debt Input'!$A$4:$G$9, 3, FALSE) / 12), 2))</f>
        <v>0</v>
      </c>
      <c r="E312" s="66" cm="1">
        <f t="array" aca="1" ref="E312" ca="1">IF(B312="","", ROUND(MIN(C312+D312, MAX(VLOOKUP(B312,'💳 Debt Input'!$A$4:$G$9,4,FALSE), $F$3 - IFERROR(SUM(OFFSET(E312, -MOD(ROW()-6, 6), 0, MOD(ROW()-6, 6))), 0) - IFERROR(SUM(SUMIF('💳 Debt Input'!$A$4:$A$9, OFFSET(B312, 1, 0, 5-MOD(ROW()-6, 6)), '💳 Debt Input'!$D$4:$D$9)), 0))), 2))</f>
        <v>0</v>
      </c>
      <c r="F312" s="66">
        <f t="shared" ca="1" si="9"/>
        <v>0</v>
      </c>
      <c r="G312" s="28" t="str">
        <f t="shared" ca="1" si="8"/>
        <v>Paid off</v>
      </c>
      <c r="H312" s="28"/>
    </row>
    <row r="313" spans="1:8" ht="18" customHeight="1" x14ac:dyDescent="0.35">
      <c r="A313" s="52"/>
      <c r="B313" s="26" t="str">
        <v>Personal Loan</v>
      </c>
      <c r="C313" s="66">
        <f ca="1"/>
        <v>0</v>
      </c>
      <c r="D313" s="66">
        <f ca="1">IF(B313="","", ROUND(C313 * (VLOOKUP(B313, '💳 Debt Input'!$A$4:$G$9, 3, FALSE) / 12), 2))</f>
        <v>0</v>
      </c>
      <c r="E313" s="66" cm="1">
        <f t="array" aca="1" ref="E313" ca="1">IF(B313="","", ROUND(MIN(C313+D313, MAX(VLOOKUP(B313,'💳 Debt Input'!$A$4:$G$9,4,FALSE), $F$3 - IFERROR(SUM(OFFSET(E313, -MOD(ROW()-6, 6), 0, MOD(ROW()-6, 6))), 0) - IFERROR(SUM(SUMIF('💳 Debt Input'!$A$4:$A$9, OFFSET(B313, 1, 0, 5-MOD(ROW()-6, 6)), '💳 Debt Input'!$D$4:$D$9)), 0))), 2))</f>
        <v>0</v>
      </c>
      <c r="F313" s="66">
        <f t="shared" ca="1" si="9"/>
        <v>0</v>
      </c>
      <c r="G313" s="28" t="str">
        <f t="shared" ca="1" si="8"/>
        <v>Paid off</v>
      </c>
      <c r="H313" s="28"/>
    </row>
    <row r="314" spans="1:8" ht="18" customHeight="1" x14ac:dyDescent="0.35">
      <c r="A314" s="52"/>
      <c r="B314" s="26" t="str">
        <v>Auto Loan</v>
      </c>
      <c r="C314" s="66">
        <f ca="1"/>
        <v>0</v>
      </c>
      <c r="D314" s="66">
        <f ca="1">IF(B314="","", ROUND(C314 * (VLOOKUP(B314, '💳 Debt Input'!$A$4:$G$9, 3, FALSE) / 12), 2))</f>
        <v>0</v>
      </c>
      <c r="E314" s="66" cm="1">
        <f t="array" aca="1" ref="E314" ca="1">IF(B314="","", ROUND(MIN(C314+D314, MAX(VLOOKUP(B314,'💳 Debt Input'!$A$4:$G$9,4,FALSE), $F$3 - IFERROR(SUM(OFFSET(E314, -MOD(ROW()-6, 6), 0, MOD(ROW()-6, 6))), 0) - IFERROR(SUM(SUMIF('💳 Debt Input'!$A$4:$A$9, OFFSET(B314, 1, 0, 5-MOD(ROW()-6, 6)), '💳 Debt Input'!$D$4:$D$9)), 0))), 2))</f>
        <v>0</v>
      </c>
      <c r="F314" s="66">
        <f t="shared" ca="1" si="9"/>
        <v>0</v>
      </c>
      <c r="G314" s="28" t="str">
        <f t="shared" ca="1" si="8"/>
        <v>Paid off</v>
      </c>
      <c r="H314" s="28"/>
    </row>
    <row r="315" spans="1:8" ht="18" customHeight="1" x14ac:dyDescent="0.35">
      <c r="A315" s="52"/>
      <c r="B315" s="26" t="str">
        <v>Travel Card</v>
      </c>
      <c r="C315" s="66">
        <f ca="1"/>
        <v>0</v>
      </c>
      <c r="D315" s="66">
        <f ca="1">IF(B315="","", ROUND(C315 * (VLOOKUP(B315, '💳 Debt Input'!$A$4:$G$9, 3, FALSE) / 12), 2))</f>
        <v>0</v>
      </c>
      <c r="E315" s="66" cm="1">
        <f t="array" aca="1" ref="E315" ca="1">IF(B315="","", ROUND(MIN(C315+D315, MAX(VLOOKUP(B315,'💳 Debt Input'!$A$4:$G$9,4,FALSE), $F$3 - IFERROR(SUM(OFFSET(E315, -MOD(ROW()-6, 6), 0, MOD(ROW()-6, 6))), 0) - IFERROR(SUM(SUMIF('💳 Debt Input'!$A$4:$A$9, OFFSET(B315, 1, 0, 5-MOD(ROW()-6, 6)), '💳 Debt Input'!$D$4:$D$9)), 0))), 2))</f>
        <v>0</v>
      </c>
      <c r="F315" s="66">
        <f t="shared" ca="1" si="9"/>
        <v>0</v>
      </c>
      <c r="G315" s="28" t="str">
        <f t="shared" ca="1" si="8"/>
        <v>Paid off</v>
      </c>
      <c r="H315" s="28"/>
    </row>
    <row r="316" spans="1:8" ht="18" customHeight="1" x14ac:dyDescent="0.35">
      <c r="A316" s="47"/>
      <c r="B316" s="8" t="str">
        <v>Rewards Visa</v>
      </c>
      <c r="C316" s="61">
        <f ca="1"/>
        <v>8499.56</v>
      </c>
      <c r="D316" s="61">
        <f ca="1">IF(B316="","", ROUND(C316 * (VLOOKUP(B316, '💳 Debt Input'!$A$4:$G$9, 3, FALSE) / 12), 2))</f>
        <v>254.99</v>
      </c>
      <c r="E316" s="61" cm="1">
        <f t="array" aca="1" ref="E316" ca="1">IF(B316="","", ROUND(MIN(C316+D316, MAX(VLOOKUP(B316,'💳 Debt Input'!$A$4:$G$9,4,FALSE), $F$3 - IFERROR(SUM(OFFSET(E316, -MOD(ROW()-6, 6), 0, MOD(ROW()-6, 6))), 0) - IFERROR(SUM(SUMIF('💳 Debt Input'!$A$4:$A$9, OFFSET(B316, 1, 0, 5-MOD(ROW()-6, 6)), '💳 Debt Input'!$D$4:$D$9)), 0))), 2))</f>
        <v>985</v>
      </c>
      <c r="F316" s="61">
        <f t="shared" ca="1" si="9"/>
        <v>7769.55</v>
      </c>
      <c r="G316" s="19" t="str">
        <f t="shared" ca="1" si="8"/>
        <v>Active</v>
      </c>
      <c r="H316" s="19"/>
    </row>
    <row r="317" spans="1:8" ht="18" customHeight="1" x14ac:dyDescent="0.35">
      <c r="A317" s="51">
        <v>52</v>
      </c>
      <c r="B317" s="56" t="str" cm="1">
        <f t="array" ref="B317:B322">B311:B316</f>
        <v>Store Card</v>
      </c>
      <c r="C317" s="65" cm="1">
        <f t="array" aca="1" ref="C317:C322" ca="1">F311:F316</f>
        <v>0</v>
      </c>
      <c r="D317" s="65">
        <f ca="1">IF(B317="","", ROUND(C317 * (VLOOKUP(B317, '💳 Debt Input'!$A$4:$G$9, 3, FALSE) / 12), 2))</f>
        <v>0</v>
      </c>
      <c r="E317" s="65" cm="1">
        <f t="array" aca="1" ref="E317" ca="1">IF(B317="","", ROUND(MIN(C317+D317, MAX(VLOOKUP(B317,'💳 Debt Input'!$A$4:$G$9,4,FALSE), $F$3 - IFERROR(SUM(OFFSET(E317, -MOD(ROW()-6, 6), 0, MOD(ROW()-6, 6))), 0) - IFERROR(SUM(SUMIF('💳 Debt Input'!$A$4:$A$9, OFFSET(B317, 1, 0, 5-MOD(ROW()-6, 6)), '💳 Debt Input'!$D$4:$D$9)), 0))), 2))</f>
        <v>0</v>
      </c>
      <c r="F317" s="65">
        <f t="shared" ca="1" si="9"/>
        <v>0</v>
      </c>
      <c r="G317" s="25" t="str">
        <f t="shared" ca="1" si="8"/>
        <v>Paid off</v>
      </c>
      <c r="H317" s="25"/>
    </row>
    <row r="318" spans="1:8" ht="18" customHeight="1" x14ac:dyDescent="0.35">
      <c r="A318" s="52"/>
      <c r="B318" s="26" t="str">
        <v>Medical Bill</v>
      </c>
      <c r="C318" s="66">
        <f ca="1"/>
        <v>0</v>
      </c>
      <c r="D318" s="66">
        <f ca="1">IF(B318="","", ROUND(C318 * (VLOOKUP(B318, '💳 Debt Input'!$A$4:$G$9, 3, FALSE) / 12), 2))</f>
        <v>0</v>
      </c>
      <c r="E318" s="66" cm="1">
        <f t="array" aca="1" ref="E318" ca="1">IF(B318="","", ROUND(MIN(C318+D318, MAX(VLOOKUP(B318,'💳 Debt Input'!$A$4:$G$9,4,FALSE), $F$3 - IFERROR(SUM(OFFSET(E318, -MOD(ROW()-6, 6), 0, MOD(ROW()-6, 6))), 0) - IFERROR(SUM(SUMIF('💳 Debt Input'!$A$4:$A$9, OFFSET(B318, 1, 0, 5-MOD(ROW()-6, 6)), '💳 Debt Input'!$D$4:$D$9)), 0))), 2))</f>
        <v>0</v>
      </c>
      <c r="F318" s="66">
        <f t="shared" ca="1" si="9"/>
        <v>0</v>
      </c>
      <c r="G318" s="28" t="str">
        <f t="shared" ca="1" si="8"/>
        <v>Paid off</v>
      </c>
      <c r="H318" s="28"/>
    </row>
    <row r="319" spans="1:8" ht="18" customHeight="1" x14ac:dyDescent="0.35">
      <c r="A319" s="52"/>
      <c r="B319" s="26" t="str">
        <v>Personal Loan</v>
      </c>
      <c r="C319" s="66">
        <f ca="1"/>
        <v>0</v>
      </c>
      <c r="D319" s="66">
        <f ca="1">IF(B319="","", ROUND(C319 * (VLOOKUP(B319, '💳 Debt Input'!$A$4:$G$9, 3, FALSE) / 12), 2))</f>
        <v>0</v>
      </c>
      <c r="E319" s="66" cm="1">
        <f t="array" aca="1" ref="E319" ca="1">IF(B319="","", ROUND(MIN(C319+D319, MAX(VLOOKUP(B319,'💳 Debt Input'!$A$4:$G$9,4,FALSE), $F$3 - IFERROR(SUM(OFFSET(E319, -MOD(ROW()-6, 6), 0, MOD(ROW()-6, 6))), 0) - IFERROR(SUM(SUMIF('💳 Debt Input'!$A$4:$A$9, OFFSET(B319, 1, 0, 5-MOD(ROW()-6, 6)), '💳 Debt Input'!$D$4:$D$9)), 0))), 2))</f>
        <v>0</v>
      </c>
      <c r="F319" s="66">
        <f t="shared" ca="1" si="9"/>
        <v>0</v>
      </c>
      <c r="G319" s="28" t="str">
        <f t="shared" ca="1" si="8"/>
        <v>Paid off</v>
      </c>
      <c r="H319" s="28"/>
    </row>
    <row r="320" spans="1:8" ht="18" customHeight="1" x14ac:dyDescent="0.35">
      <c r="A320" s="52"/>
      <c r="B320" s="26" t="str">
        <v>Auto Loan</v>
      </c>
      <c r="C320" s="66">
        <f ca="1"/>
        <v>0</v>
      </c>
      <c r="D320" s="66">
        <f ca="1">IF(B320="","", ROUND(C320 * (VLOOKUP(B320, '💳 Debt Input'!$A$4:$G$9, 3, FALSE) / 12), 2))</f>
        <v>0</v>
      </c>
      <c r="E320" s="66" cm="1">
        <f t="array" aca="1" ref="E320" ca="1">IF(B320="","", ROUND(MIN(C320+D320, MAX(VLOOKUP(B320,'💳 Debt Input'!$A$4:$G$9,4,FALSE), $F$3 - IFERROR(SUM(OFFSET(E320, -MOD(ROW()-6, 6), 0, MOD(ROW()-6, 6))), 0) - IFERROR(SUM(SUMIF('💳 Debt Input'!$A$4:$A$9, OFFSET(B320, 1, 0, 5-MOD(ROW()-6, 6)), '💳 Debt Input'!$D$4:$D$9)), 0))), 2))</f>
        <v>0</v>
      </c>
      <c r="F320" s="66">
        <f t="shared" ca="1" si="9"/>
        <v>0</v>
      </c>
      <c r="G320" s="28" t="str">
        <f t="shared" ca="1" si="8"/>
        <v>Paid off</v>
      </c>
      <c r="H320" s="28"/>
    </row>
    <row r="321" spans="1:8" ht="18" customHeight="1" x14ac:dyDescent="0.35">
      <c r="A321" s="52"/>
      <c r="B321" s="26" t="str">
        <v>Travel Card</v>
      </c>
      <c r="C321" s="66">
        <f ca="1"/>
        <v>0</v>
      </c>
      <c r="D321" s="66">
        <f ca="1">IF(B321="","", ROUND(C321 * (VLOOKUP(B321, '💳 Debt Input'!$A$4:$G$9, 3, FALSE) / 12), 2))</f>
        <v>0</v>
      </c>
      <c r="E321" s="66" cm="1">
        <f t="array" aca="1" ref="E321" ca="1">IF(B321="","", ROUND(MIN(C321+D321, MAX(VLOOKUP(B321,'💳 Debt Input'!$A$4:$G$9,4,FALSE), $F$3 - IFERROR(SUM(OFFSET(E321, -MOD(ROW()-6, 6), 0, MOD(ROW()-6, 6))), 0) - IFERROR(SUM(SUMIF('💳 Debt Input'!$A$4:$A$9, OFFSET(B321, 1, 0, 5-MOD(ROW()-6, 6)), '💳 Debt Input'!$D$4:$D$9)), 0))), 2))</f>
        <v>0</v>
      </c>
      <c r="F321" s="66">
        <f t="shared" ca="1" si="9"/>
        <v>0</v>
      </c>
      <c r="G321" s="28" t="str">
        <f t="shared" ca="1" si="8"/>
        <v>Paid off</v>
      </c>
      <c r="H321" s="28"/>
    </row>
    <row r="322" spans="1:8" ht="18" customHeight="1" x14ac:dyDescent="0.35">
      <c r="A322" s="49"/>
      <c r="B322" s="6" t="str">
        <v>Rewards Visa</v>
      </c>
      <c r="C322" s="63">
        <f ca="1"/>
        <v>7769.55</v>
      </c>
      <c r="D322" s="63">
        <f ca="1">IF(B322="","", ROUND(C322 * (VLOOKUP(B322, '💳 Debt Input'!$A$4:$G$9, 3, FALSE) / 12), 2))</f>
        <v>233.09</v>
      </c>
      <c r="E322" s="63" cm="1">
        <f t="array" aca="1" ref="E322" ca="1">IF(B322="","", ROUND(MIN(C322+D322, MAX(VLOOKUP(B322,'💳 Debt Input'!$A$4:$G$9,4,FALSE), $F$3 - IFERROR(SUM(OFFSET(E322, -MOD(ROW()-6, 6), 0, MOD(ROW()-6, 6))), 0) - IFERROR(SUM(SUMIF('💳 Debt Input'!$A$4:$A$9, OFFSET(B322, 1, 0, 5-MOD(ROW()-6, 6)), '💳 Debt Input'!$D$4:$D$9)), 0))), 2))</f>
        <v>985</v>
      </c>
      <c r="F322" s="63">
        <f t="shared" ca="1" si="9"/>
        <v>7017.64</v>
      </c>
      <c r="G322" s="22" t="str">
        <f t="shared" ca="1" si="8"/>
        <v>Active</v>
      </c>
      <c r="H322" s="22"/>
    </row>
    <row r="323" spans="1:8" ht="18" customHeight="1" x14ac:dyDescent="0.35">
      <c r="A323" s="51">
        <v>53</v>
      </c>
      <c r="B323" s="56" t="str" cm="1">
        <f t="array" ref="B323:B328">B317:B322</f>
        <v>Store Card</v>
      </c>
      <c r="C323" s="65" cm="1">
        <f t="array" aca="1" ref="C323:C328" ca="1">F317:F322</f>
        <v>0</v>
      </c>
      <c r="D323" s="65">
        <f ca="1">IF(B323="","", ROUND(C323 * (VLOOKUP(B323, '💳 Debt Input'!$A$4:$G$9, 3, FALSE) / 12), 2))</f>
        <v>0</v>
      </c>
      <c r="E323" s="65" cm="1">
        <f t="array" aca="1" ref="E323" ca="1">IF(B323="","", ROUND(MIN(C323+D323, MAX(VLOOKUP(B323,'💳 Debt Input'!$A$4:$G$9,4,FALSE), $F$3 - IFERROR(SUM(OFFSET(E323, -MOD(ROW()-6, 6), 0, MOD(ROW()-6, 6))), 0) - IFERROR(SUM(SUMIF('💳 Debt Input'!$A$4:$A$9, OFFSET(B323, 1, 0, 5-MOD(ROW()-6, 6)), '💳 Debt Input'!$D$4:$D$9)), 0))), 2))</f>
        <v>0</v>
      </c>
      <c r="F323" s="65">
        <f t="shared" ca="1" si="9"/>
        <v>0</v>
      </c>
      <c r="G323" s="25" t="str">
        <f t="shared" ca="1" si="8"/>
        <v>Paid off</v>
      </c>
      <c r="H323" s="25"/>
    </row>
    <row r="324" spans="1:8" ht="18" customHeight="1" x14ac:dyDescent="0.35">
      <c r="A324" s="52"/>
      <c r="B324" s="26" t="str">
        <v>Medical Bill</v>
      </c>
      <c r="C324" s="66">
        <f ca="1"/>
        <v>0</v>
      </c>
      <c r="D324" s="66">
        <f ca="1">IF(B324="","", ROUND(C324 * (VLOOKUP(B324, '💳 Debt Input'!$A$4:$G$9, 3, FALSE) / 12), 2))</f>
        <v>0</v>
      </c>
      <c r="E324" s="66" cm="1">
        <f t="array" aca="1" ref="E324" ca="1">IF(B324="","", ROUND(MIN(C324+D324, MAX(VLOOKUP(B324,'💳 Debt Input'!$A$4:$G$9,4,FALSE), $F$3 - IFERROR(SUM(OFFSET(E324, -MOD(ROW()-6, 6), 0, MOD(ROW()-6, 6))), 0) - IFERROR(SUM(SUMIF('💳 Debt Input'!$A$4:$A$9, OFFSET(B324, 1, 0, 5-MOD(ROW()-6, 6)), '💳 Debt Input'!$D$4:$D$9)), 0))), 2))</f>
        <v>0</v>
      </c>
      <c r="F324" s="66">
        <f t="shared" ca="1" si="9"/>
        <v>0</v>
      </c>
      <c r="G324" s="28" t="str">
        <f t="shared" ca="1" si="8"/>
        <v>Paid off</v>
      </c>
      <c r="H324" s="28"/>
    </row>
    <row r="325" spans="1:8" ht="18" customHeight="1" x14ac:dyDescent="0.35">
      <c r="A325" s="52"/>
      <c r="B325" s="26" t="str">
        <v>Personal Loan</v>
      </c>
      <c r="C325" s="66">
        <f ca="1"/>
        <v>0</v>
      </c>
      <c r="D325" s="66">
        <f ca="1">IF(B325="","", ROUND(C325 * (VLOOKUP(B325, '💳 Debt Input'!$A$4:$G$9, 3, FALSE) / 12), 2))</f>
        <v>0</v>
      </c>
      <c r="E325" s="66" cm="1">
        <f t="array" aca="1" ref="E325" ca="1">IF(B325="","", ROUND(MIN(C325+D325, MAX(VLOOKUP(B325,'💳 Debt Input'!$A$4:$G$9,4,FALSE), $F$3 - IFERROR(SUM(OFFSET(E325, -MOD(ROW()-6, 6), 0, MOD(ROW()-6, 6))), 0) - IFERROR(SUM(SUMIF('💳 Debt Input'!$A$4:$A$9, OFFSET(B325, 1, 0, 5-MOD(ROW()-6, 6)), '💳 Debt Input'!$D$4:$D$9)), 0))), 2))</f>
        <v>0</v>
      </c>
      <c r="F325" s="66">
        <f t="shared" ca="1" si="9"/>
        <v>0</v>
      </c>
      <c r="G325" s="28" t="str">
        <f t="shared" ca="1" si="8"/>
        <v>Paid off</v>
      </c>
      <c r="H325" s="28"/>
    </row>
    <row r="326" spans="1:8" ht="18" customHeight="1" x14ac:dyDescent="0.35">
      <c r="A326" s="52"/>
      <c r="B326" s="26" t="str">
        <v>Auto Loan</v>
      </c>
      <c r="C326" s="66">
        <f ca="1"/>
        <v>0</v>
      </c>
      <c r="D326" s="66">
        <f ca="1">IF(B326="","", ROUND(C326 * (VLOOKUP(B326, '💳 Debt Input'!$A$4:$G$9, 3, FALSE) / 12), 2))</f>
        <v>0</v>
      </c>
      <c r="E326" s="66" cm="1">
        <f t="array" aca="1" ref="E326" ca="1">IF(B326="","", ROUND(MIN(C326+D326, MAX(VLOOKUP(B326,'💳 Debt Input'!$A$4:$G$9,4,FALSE), $F$3 - IFERROR(SUM(OFFSET(E326, -MOD(ROW()-6, 6), 0, MOD(ROW()-6, 6))), 0) - IFERROR(SUM(SUMIF('💳 Debt Input'!$A$4:$A$9, OFFSET(B326, 1, 0, 5-MOD(ROW()-6, 6)), '💳 Debt Input'!$D$4:$D$9)), 0))), 2))</f>
        <v>0</v>
      </c>
      <c r="F326" s="66">
        <f t="shared" ca="1" si="9"/>
        <v>0</v>
      </c>
      <c r="G326" s="28" t="str">
        <f t="shared" ca="1" si="8"/>
        <v>Paid off</v>
      </c>
      <c r="H326" s="28"/>
    </row>
    <row r="327" spans="1:8" ht="18" customHeight="1" x14ac:dyDescent="0.35">
      <c r="A327" s="52"/>
      <c r="B327" s="26" t="str">
        <v>Travel Card</v>
      </c>
      <c r="C327" s="66">
        <f ca="1"/>
        <v>0</v>
      </c>
      <c r="D327" s="66">
        <f ca="1">IF(B327="","", ROUND(C327 * (VLOOKUP(B327, '💳 Debt Input'!$A$4:$G$9, 3, FALSE) / 12), 2))</f>
        <v>0</v>
      </c>
      <c r="E327" s="66" cm="1">
        <f t="array" aca="1" ref="E327" ca="1">IF(B327="","", ROUND(MIN(C327+D327, MAX(VLOOKUP(B327,'💳 Debt Input'!$A$4:$G$9,4,FALSE), $F$3 - IFERROR(SUM(OFFSET(E327, -MOD(ROW()-6, 6), 0, MOD(ROW()-6, 6))), 0) - IFERROR(SUM(SUMIF('💳 Debt Input'!$A$4:$A$9, OFFSET(B327, 1, 0, 5-MOD(ROW()-6, 6)), '💳 Debt Input'!$D$4:$D$9)), 0))), 2))</f>
        <v>0</v>
      </c>
      <c r="F327" s="66">
        <f t="shared" ca="1" si="9"/>
        <v>0</v>
      </c>
      <c r="G327" s="28" t="str">
        <f t="shared" ca="1" si="8"/>
        <v>Paid off</v>
      </c>
      <c r="H327" s="28"/>
    </row>
    <row r="328" spans="1:8" ht="18" customHeight="1" x14ac:dyDescent="0.35">
      <c r="A328" s="47"/>
      <c r="B328" s="8" t="str">
        <v>Rewards Visa</v>
      </c>
      <c r="C328" s="61">
        <f ca="1"/>
        <v>7017.64</v>
      </c>
      <c r="D328" s="61">
        <f ca="1">IF(B328="","", ROUND(C328 * (VLOOKUP(B328, '💳 Debt Input'!$A$4:$G$9, 3, FALSE) / 12), 2))</f>
        <v>210.53</v>
      </c>
      <c r="E328" s="61" cm="1">
        <f t="array" aca="1" ref="E328" ca="1">IF(B328="","", ROUND(MIN(C328+D328, MAX(VLOOKUP(B328,'💳 Debt Input'!$A$4:$G$9,4,FALSE), $F$3 - IFERROR(SUM(OFFSET(E328, -MOD(ROW()-6, 6), 0, MOD(ROW()-6, 6))), 0) - IFERROR(SUM(SUMIF('💳 Debt Input'!$A$4:$A$9, OFFSET(B328, 1, 0, 5-MOD(ROW()-6, 6)), '💳 Debt Input'!$D$4:$D$9)), 0))), 2))</f>
        <v>985</v>
      </c>
      <c r="F328" s="61">
        <f t="shared" ca="1" si="9"/>
        <v>6243.17</v>
      </c>
      <c r="G328" s="19" t="str">
        <f t="shared" ca="1" si="8"/>
        <v>Active</v>
      </c>
      <c r="H328" s="19"/>
    </row>
    <row r="329" spans="1:8" ht="18" customHeight="1" x14ac:dyDescent="0.35">
      <c r="A329" s="51">
        <v>54</v>
      </c>
      <c r="B329" s="56" t="str" cm="1">
        <f t="array" ref="B329:B334">B323:B328</f>
        <v>Store Card</v>
      </c>
      <c r="C329" s="65" cm="1">
        <f t="array" aca="1" ref="C329:C334" ca="1">F323:F328</f>
        <v>0</v>
      </c>
      <c r="D329" s="65">
        <f ca="1">IF(B329="","", ROUND(C329 * (VLOOKUP(B329, '💳 Debt Input'!$A$4:$G$9, 3, FALSE) / 12), 2))</f>
        <v>0</v>
      </c>
      <c r="E329" s="65" cm="1">
        <f t="array" aca="1" ref="E329" ca="1">IF(B329="","", ROUND(MIN(C329+D329, MAX(VLOOKUP(B329,'💳 Debt Input'!$A$4:$G$9,4,FALSE), $F$3 - IFERROR(SUM(OFFSET(E329, -MOD(ROW()-6, 6), 0, MOD(ROW()-6, 6))), 0) - IFERROR(SUM(SUMIF('💳 Debt Input'!$A$4:$A$9, OFFSET(B329, 1, 0, 5-MOD(ROW()-6, 6)), '💳 Debt Input'!$D$4:$D$9)), 0))), 2))</f>
        <v>0</v>
      </c>
      <c r="F329" s="65">
        <f t="shared" ca="1" si="9"/>
        <v>0</v>
      </c>
      <c r="G329" s="25" t="str">
        <f t="shared" ca="1" si="8"/>
        <v>Paid off</v>
      </c>
      <c r="H329" s="25"/>
    </row>
    <row r="330" spans="1:8" ht="18" customHeight="1" x14ac:dyDescent="0.35">
      <c r="A330" s="52"/>
      <c r="B330" s="26" t="str">
        <v>Medical Bill</v>
      </c>
      <c r="C330" s="66">
        <f ca="1"/>
        <v>0</v>
      </c>
      <c r="D330" s="66">
        <f ca="1">IF(B330="","", ROUND(C330 * (VLOOKUP(B330, '💳 Debt Input'!$A$4:$G$9, 3, FALSE) / 12), 2))</f>
        <v>0</v>
      </c>
      <c r="E330" s="66" cm="1">
        <f t="array" aca="1" ref="E330" ca="1">IF(B330="","", ROUND(MIN(C330+D330, MAX(VLOOKUP(B330,'💳 Debt Input'!$A$4:$G$9,4,FALSE), $F$3 - IFERROR(SUM(OFFSET(E330, -MOD(ROW()-6, 6), 0, MOD(ROW()-6, 6))), 0) - IFERROR(SUM(SUMIF('💳 Debt Input'!$A$4:$A$9, OFFSET(B330, 1, 0, 5-MOD(ROW()-6, 6)), '💳 Debt Input'!$D$4:$D$9)), 0))), 2))</f>
        <v>0</v>
      </c>
      <c r="F330" s="66">
        <f t="shared" ca="1" si="9"/>
        <v>0</v>
      </c>
      <c r="G330" s="28" t="str">
        <f t="shared" ca="1" si="8"/>
        <v>Paid off</v>
      </c>
      <c r="H330" s="28"/>
    </row>
    <row r="331" spans="1:8" ht="18" customHeight="1" x14ac:dyDescent="0.35">
      <c r="A331" s="52"/>
      <c r="B331" s="26" t="str">
        <v>Personal Loan</v>
      </c>
      <c r="C331" s="66">
        <f ca="1"/>
        <v>0</v>
      </c>
      <c r="D331" s="66">
        <f ca="1">IF(B331="","", ROUND(C331 * (VLOOKUP(B331, '💳 Debt Input'!$A$4:$G$9, 3, FALSE) / 12), 2))</f>
        <v>0</v>
      </c>
      <c r="E331" s="66" cm="1">
        <f t="array" aca="1" ref="E331" ca="1">IF(B331="","", ROUND(MIN(C331+D331, MAX(VLOOKUP(B331,'💳 Debt Input'!$A$4:$G$9,4,FALSE), $F$3 - IFERROR(SUM(OFFSET(E331, -MOD(ROW()-6, 6), 0, MOD(ROW()-6, 6))), 0) - IFERROR(SUM(SUMIF('💳 Debt Input'!$A$4:$A$9, OFFSET(B331, 1, 0, 5-MOD(ROW()-6, 6)), '💳 Debt Input'!$D$4:$D$9)), 0))), 2))</f>
        <v>0</v>
      </c>
      <c r="F331" s="66">
        <f t="shared" ca="1" si="9"/>
        <v>0</v>
      </c>
      <c r="G331" s="28" t="str">
        <f t="shared" ref="G331:G394" ca="1" si="10">IF(F331=0,"Paid off","Active")</f>
        <v>Paid off</v>
      </c>
      <c r="H331" s="28"/>
    </row>
    <row r="332" spans="1:8" ht="18" customHeight="1" x14ac:dyDescent="0.35">
      <c r="A332" s="52"/>
      <c r="B332" s="26" t="str">
        <v>Auto Loan</v>
      </c>
      <c r="C332" s="66">
        <f ca="1"/>
        <v>0</v>
      </c>
      <c r="D332" s="66">
        <f ca="1">IF(B332="","", ROUND(C332 * (VLOOKUP(B332, '💳 Debt Input'!$A$4:$G$9, 3, FALSE) / 12), 2))</f>
        <v>0</v>
      </c>
      <c r="E332" s="66" cm="1">
        <f t="array" aca="1" ref="E332" ca="1">IF(B332="","", ROUND(MIN(C332+D332, MAX(VLOOKUP(B332,'💳 Debt Input'!$A$4:$G$9,4,FALSE), $F$3 - IFERROR(SUM(OFFSET(E332, -MOD(ROW()-6, 6), 0, MOD(ROW()-6, 6))), 0) - IFERROR(SUM(SUMIF('💳 Debt Input'!$A$4:$A$9, OFFSET(B332, 1, 0, 5-MOD(ROW()-6, 6)), '💳 Debt Input'!$D$4:$D$9)), 0))), 2))</f>
        <v>0</v>
      </c>
      <c r="F332" s="66">
        <f t="shared" ref="F332:F394" ca="1" si="11">ROUND(MAX(0,C332+D332-E332),2)</f>
        <v>0</v>
      </c>
      <c r="G332" s="28" t="str">
        <f t="shared" ca="1" si="10"/>
        <v>Paid off</v>
      </c>
      <c r="H332" s="28"/>
    </row>
    <row r="333" spans="1:8" ht="18" customHeight="1" x14ac:dyDescent="0.35">
      <c r="A333" s="52"/>
      <c r="B333" s="26" t="str">
        <v>Travel Card</v>
      </c>
      <c r="C333" s="66">
        <f ca="1"/>
        <v>0</v>
      </c>
      <c r="D333" s="66">
        <f ca="1">IF(B333="","", ROUND(C333 * (VLOOKUP(B333, '💳 Debt Input'!$A$4:$G$9, 3, FALSE) / 12), 2))</f>
        <v>0</v>
      </c>
      <c r="E333" s="66" cm="1">
        <f t="array" aca="1" ref="E333" ca="1">IF(B333="","", ROUND(MIN(C333+D333, MAX(VLOOKUP(B333,'💳 Debt Input'!$A$4:$G$9,4,FALSE), $F$3 - IFERROR(SUM(OFFSET(E333, -MOD(ROW()-6, 6), 0, MOD(ROW()-6, 6))), 0) - IFERROR(SUM(SUMIF('💳 Debt Input'!$A$4:$A$9, OFFSET(B333, 1, 0, 5-MOD(ROW()-6, 6)), '💳 Debt Input'!$D$4:$D$9)), 0))), 2))</f>
        <v>0</v>
      </c>
      <c r="F333" s="66">
        <f t="shared" ca="1" si="11"/>
        <v>0</v>
      </c>
      <c r="G333" s="28" t="str">
        <f t="shared" ca="1" si="10"/>
        <v>Paid off</v>
      </c>
      <c r="H333" s="28"/>
    </row>
    <row r="334" spans="1:8" ht="18" customHeight="1" x14ac:dyDescent="0.35">
      <c r="A334" s="49"/>
      <c r="B334" s="6" t="str">
        <v>Rewards Visa</v>
      </c>
      <c r="C334" s="63">
        <f ca="1"/>
        <v>6243.17</v>
      </c>
      <c r="D334" s="63">
        <f ca="1">IF(B334="","", ROUND(C334 * (VLOOKUP(B334, '💳 Debt Input'!$A$4:$G$9, 3, FALSE) / 12), 2))</f>
        <v>187.3</v>
      </c>
      <c r="E334" s="63" cm="1">
        <f t="array" aca="1" ref="E334" ca="1">IF(B334="","", ROUND(MIN(C334+D334, MAX(VLOOKUP(B334,'💳 Debt Input'!$A$4:$G$9,4,FALSE), $F$3 - IFERROR(SUM(OFFSET(E334, -MOD(ROW()-6, 6), 0, MOD(ROW()-6, 6))), 0) - IFERROR(SUM(SUMIF('💳 Debt Input'!$A$4:$A$9, OFFSET(B334, 1, 0, 5-MOD(ROW()-6, 6)), '💳 Debt Input'!$D$4:$D$9)), 0))), 2))</f>
        <v>985</v>
      </c>
      <c r="F334" s="63">
        <f t="shared" ca="1" si="11"/>
        <v>5445.47</v>
      </c>
      <c r="G334" s="22" t="str">
        <f t="shared" ca="1" si="10"/>
        <v>Active</v>
      </c>
      <c r="H334" s="22"/>
    </row>
    <row r="335" spans="1:8" ht="18" customHeight="1" x14ac:dyDescent="0.35">
      <c r="A335" s="51">
        <v>55</v>
      </c>
      <c r="B335" s="56" t="str" cm="1">
        <f t="array" ref="B335:B340">B329:B334</f>
        <v>Store Card</v>
      </c>
      <c r="C335" s="65" cm="1">
        <f t="array" aca="1" ref="C335:C340" ca="1">F329:F334</f>
        <v>0</v>
      </c>
      <c r="D335" s="65">
        <f ca="1">IF(B335="","", ROUND(C335 * (VLOOKUP(B335, '💳 Debt Input'!$A$4:$G$9, 3, FALSE) / 12), 2))</f>
        <v>0</v>
      </c>
      <c r="E335" s="65" cm="1">
        <f t="array" aca="1" ref="E335" ca="1">IF(B335="","", ROUND(MIN(C335+D335, MAX(VLOOKUP(B335,'💳 Debt Input'!$A$4:$G$9,4,FALSE), $F$3 - IFERROR(SUM(OFFSET(E335, -MOD(ROW()-6, 6), 0, MOD(ROW()-6, 6))), 0) - IFERROR(SUM(SUMIF('💳 Debt Input'!$A$4:$A$9, OFFSET(B335, 1, 0, 5-MOD(ROW()-6, 6)), '💳 Debt Input'!$D$4:$D$9)), 0))), 2))</f>
        <v>0</v>
      </c>
      <c r="F335" s="65">
        <f t="shared" ca="1" si="11"/>
        <v>0</v>
      </c>
      <c r="G335" s="25" t="str">
        <f t="shared" ca="1" si="10"/>
        <v>Paid off</v>
      </c>
      <c r="H335" s="25"/>
    </row>
    <row r="336" spans="1:8" ht="18" customHeight="1" x14ac:dyDescent="0.35">
      <c r="A336" s="52"/>
      <c r="B336" s="26" t="str">
        <v>Medical Bill</v>
      </c>
      <c r="C336" s="66">
        <f ca="1"/>
        <v>0</v>
      </c>
      <c r="D336" s="66">
        <f ca="1">IF(B336="","", ROUND(C336 * (VLOOKUP(B336, '💳 Debt Input'!$A$4:$G$9, 3, FALSE) / 12), 2))</f>
        <v>0</v>
      </c>
      <c r="E336" s="66" cm="1">
        <f t="array" aca="1" ref="E336" ca="1">IF(B336="","", ROUND(MIN(C336+D336, MAX(VLOOKUP(B336,'💳 Debt Input'!$A$4:$G$9,4,FALSE), $F$3 - IFERROR(SUM(OFFSET(E336, -MOD(ROW()-6, 6), 0, MOD(ROW()-6, 6))), 0) - IFERROR(SUM(SUMIF('💳 Debt Input'!$A$4:$A$9, OFFSET(B336, 1, 0, 5-MOD(ROW()-6, 6)), '💳 Debt Input'!$D$4:$D$9)), 0))), 2))</f>
        <v>0</v>
      </c>
      <c r="F336" s="66">
        <f t="shared" ca="1" si="11"/>
        <v>0</v>
      </c>
      <c r="G336" s="28" t="str">
        <f t="shared" ca="1" si="10"/>
        <v>Paid off</v>
      </c>
      <c r="H336" s="28"/>
    </row>
    <row r="337" spans="1:8" ht="18" customHeight="1" x14ac:dyDescent="0.35">
      <c r="A337" s="52"/>
      <c r="B337" s="26" t="str">
        <v>Personal Loan</v>
      </c>
      <c r="C337" s="66">
        <f ca="1"/>
        <v>0</v>
      </c>
      <c r="D337" s="66">
        <f ca="1">IF(B337="","", ROUND(C337 * (VLOOKUP(B337, '💳 Debt Input'!$A$4:$G$9, 3, FALSE) / 12), 2))</f>
        <v>0</v>
      </c>
      <c r="E337" s="66" cm="1">
        <f t="array" aca="1" ref="E337" ca="1">IF(B337="","", ROUND(MIN(C337+D337, MAX(VLOOKUP(B337,'💳 Debt Input'!$A$4:$G$9,4,FALSE), $F$3 - IFERROR(SUM(OFFSET(E337, -MOD(ROW()-6, 6), 0, MOD(ROW()-6, 6))), 0) - IFERROR(SUM(SUMIF('💳 Debt Input'!$A$4:$A$9, OFFSET(B337, 1, 0, 5-MOD(ROW()-6, 6)), '💳 Debt Input'!$D$4:$D$9)), 0))), 2))</f>
        <v>0</v>
      </c>
      <c r="F337" s="66">
        <f t="shared" ca="1" si="11"/>
        <v>0</v>
      </c>
      <c r="G337" s="28" t="str">
        <f t="shared" ca="1" si="10"/>
        <v>Paid off</v>
      </c>
      <c r="H337" s="28"/>
    </row>
    <row r="338" spans="1:8" ht="18" customHeight="1" x14ac:dyDescent="0.35">
      <c r="A338" s="52"/>
      <c r="B338" s="26" t="str">
        <v>Auto Loan</v>
      </c>
      <c r="C338" s="66">
        <f ca="1"/>
        <v>0</v>
      </c>
      <c r="D338" s="66">
        <f ca="1">IF(B338="","", ROUND(C338 * (VLOOKUP(B338, '💳 Debt Input'!$A$4:$G$9, 3, FALSE) / 12), 2))</f>
        <v>0</v>
      </c>
      <c r="E338" s="66" cm="1">
        <f t="array" aca="1" ref="E338" ca="1">IF(B338="","", ROUND(MIN(C338+D338, MAX(VLOOKUP(B338,'💳 Debt Input'!$A$4:$G$9,4,FALSE), $F$3 - IFERROR(SUM(OFFSET(E338, -MOD(ROW()-6, 6), 0, MOD(ROW()-6, 6))), 0) - IFERROR(SUM(SUMIF('💳 Debt Input'!$A$4:$A$9, OFFSET(B338, 1, 0, 5-MOD(ROW()-6, 6)), '💳 Debt Input'!$D$4:$D$9)), 0))), 2))</f>
        <v>0</v>
      </c>
      <c r="F338" s="66">
        <f t="shared" ca="1" si="11"/>
        <v>0</v>
      </c>
      <c r="G338" s="28" t="str">
        <f t="shared" ca="1" si="10"/>
        <v>Paid off</v>
      </c>
      <c r="H338" s="28"/>
    </row>
    <row r="339" spans="1:8" ht="18" customHeight="1" x14ac:dyDescent="0.35">
      <c r="A339" s="52"/>
      <c r="B339" s="26" t="str">
        <v>Travel Card</v>
      </c>
      <c r="C339" s="66">
        <f ca="1"/>
        <v>0</v>
      </c>
      <c r="D339" s="66">
        <f ca="1">IF(B339="","", ROUND(C339 * (VLOOKUP(B339, '💳 Debt Input'!$A$4:$G$9, 3, FALSE) / 12), 2))</f>
        <v>0</v>
      </c>
      <c r="E339" s="66" cm="1">
        <f t="array" aca="1" ref="E339" ca="1">IF(B339="","", ROUND(MIN(C339+D339, MAX(VLOOKUP(B339,'💳 Debt Input'!$A$4:$G$9,4,FALSE), $F$3 - IFERROR(SUM(OFFSET(E339, -MOD(ROW()-6, 6), 0, MOD(ROW()-6, 6))), 0) - IFERROR(SUM(SUMIF('💳 Debt Input'!$A$4:$A$9, OFFSET(B339, 1, 0, 5-MOD(ROW()-6, 6)), '💳 Debt Input'!$D$4:$D$9)), 0))), 2))</f>
        <v>0</v>
      </c>
      <c r="F339" s="66">
        <f t="shared" ca="1" si="11"/>
        <v>0</v>
      </c>
      <c r="G339" s="28" t="str">
        <f t="shared" ca="1" si="10"/>
        <v>Paid off</v>
      </c>
      <c r="H339" s="28"/>
    </row>
    <row r="340" spans="1:8" ht="18" customHeight="1" x14ac:dyDescent="0.35">
      <c r="A340" s="47"/>
      <c r="B340" s="8" t="str">
        <v>Rewards Visa</v>
      </c>
      <c r="C340" s="61">
        <f ca="1"/>
        <v>5445.47</v>
      </c>
      <c r="D340" s="61">
        <f ca="1">IF(B340="","", ROUND(C340 * (VLOOKUP(B340, '💳 Debt Input'!$A$4:$G$9, 3, FALSE) / 12), 2))</f>
        <v>163.36000000000001</v>
      </c>
      <c r="E340" s="61" cm="1">
        <f t="array" aca="1" ref="E340" ca="1">IF(B340="","", ROUND(MIN(C340+D340, MAX(VLOOKUP(B340,'💳 Debt Input'!$A$4:$G$9,4,FALSE), $F$3 - IFERROR(SUM(OFFSET(E340, -MOD(ROW()-6, 6), 0, MOD(ROW()-6, 6))), 0) - IFERROR(SUM(SUMIF('💳 Debt Input'!$A$4:$A$9, OFFSET(B340, 1, 0, 5-MOD(ROW()-6, 6)), '💳 Debt Input'!$D$4:$D$9)), 0))), 2))</f>
        <v>985</v>
      </c>
      <c r="F340" s="61">
        <f t="shared" ca="1" si="11"/>
        <v>4623.83</v>
      </c>
      <c r="G340" s="19" t="str">
        <f t="shared" ca="1" si="10"/>
        <v>Active</v>
      </c>
      <c r="H340" s="19"/>
    </row>
    <row r="341" spans="1:8" ht="18" customHeight="1" x14ac:dyDescent="0.35">
      <c r="A341" s="51">
        <v>56</v>
      </c>
      <c r="B341" s="56" t="str" cm="1">
        <f t="array" ref="B341:B346">B335:B340</f>
        <v>Store Card</v>
      </c>
      <c r="C341" s="65" cm="1">
        <f t="array" aca="1" ref="C341:C346" ca="1">F335:F340</f>
        <v>0</v>
      </c>
      <c r="D341" s="65">
        <f ca="1">IF(B341="","", ROUND(C341 * (VLOOKUP(B341, '💳 Debt Input'!$A$4:$G$9, 3, FALSE) / 12), 2))</f>
        <v>0</v>
      </c>
      <c r="E341" s="65" cm="1">
        <f t="array" aca="1" ref="E341" ca="1">IF(B341="","", ROUND(MIN(C341+D341, MAX(VLOOKUP(B341,'💳 Debt Input'!$A$4:$G$9,4,FALSE), $F$3 - IFERROR(SUM(OFFSET(E341, -MOD(ROW()-6, 6), 0, MOD(ROW()-6, 6))), 0) - IFERROR(SUM(SUMIF('💳 Debt Input'!$A$4:$A$9, OFFSET(B341, 1, 0, 5-MOD(ROW()-6, 6)), '💳 Debt Input'!$D$4:$D$9)), 0))), 2))</f>
        <v>0</v>
      </c>
      <c r="F341" s="65">
        <f t="shared" ca="1" si="11"/>
        <v>0</v>
      </c>
      <c r="G341" s="25" t="str">
        <f t="shared" ca="1" si="10"/>
        <v>Paid off</v>
      </c>
      <c r="H341" s="25"/>
    </row>
    <row r="342" spans="1:8" ht="18" customHeight="1" x14ac:dyDescent="0.35">
      <c r="A342" s="52"/>
      <c r="B342" s="26" t="str">
        <v>Medical Bill</v>
      </c>
      <c r="C342" s="66">
        <f ca="1"/>
        <v>0</v>
      </c>
      <c r="D342" s="66">
        <f ca="1">IF(B342="","", ROUND(C342 * (VLOOKUP(B342, '💳 Debt Input'!$A$4:$G$9, 3, FALSE) / 12), 2))</f>
        <v>0</v>
      </c>
      <c r="E342" s="66" cm="1">
        <f t="array" aca="1" ref="E342" ca="1">IF(B342="","", ROUND(MIN(C342+D342, MAX(VLOOKUP(B342,'💳 Debt Input'!$A$4:$G$9,4,FALSE), $F$3 - IFERROR(SUM(OFFSET(E342, -MOD(ROW()-6, 6), 0, MOD(ROW()-6, 6))), 0) - IFERROR(SUM(SUMIF('💳 Debt Input'!$A$4:$A$9, OFFSET(B342, 1, 0, 5-MOD(ROW()-6, 6)), '💳 Debt Input'!$D$4:$D$9)), 0))), 2))</f>
        <v>0</v>
      </c>
      <c r="F342" s="66">
        <f t="shared" ca="1" si="11"/>
        <v>0</v>
      </c>
      <c r="G342" s="28" t="str">
        <f t="shared" ca="1" si="10"/>
        <v>Paid off</v>
      </c>
      <c r="H342" s="28"/>
    </row>
    <row r="343" spans="1:8" ht="18" customHeight="1" x14ac:dyDescent="0.35">
      <c r="A343" s="52"/>
      <c r="B343" s="26" t="str">
        <v>Personal Loan</v>
      </c>
      <c r="C343" s="66">
        <f ca="1"/>
        <v>0</v>
      </c>
      <c r="D343" s="66">
        <f ca="1">IF(B343="","", ROUND(C343 * (VLOOKUP(B343, '💳 Debt Input'!$A$4:$G$9, 3, FALSE) / 12), 2))</f>
        <v>0</v>
      </c>
      <c r="E343" s="66" cm="1">
        <f t="array" aca="1" ref="E343" ca="1">IF(B343="","", ROUND(MIN(C343+D343, MAX(VLOOKUP(B343,'💳 Debt Input'!$A$4:$G$9,4,FALSE), $F$3 - IFERROR(SUM(OFFSET(E343, -MOD(ROW()-6, 6), 0, MOD(ROW()-6, 6))), 0) - IFERROR(SUM(SUMIF('💳 Debt Input'!$A$4:$A$9, OFFSET(B343, 1, 0, 5-MOD(ROW()-6, 6)), '💳 Debt Input'!$D$4:$D$9)), 0))), 2))</f>
        <v>0</v>
      </c>
      <c r="F343" s="66">
        <f t="shared" ca="1" si="11"/>
        <v>0</v>
      </c>
      <c r="G343" s="28" t="str">
        <f t="shared" ca="1" si="10"/>
        <v>Paid off</v>
      </c>
      <c r="H343" s="28"/>
    </row>
    <row r="344" spans="1:8" ht="18" customHeight="1" x14ac:dyDescent="0.35">
      <c r="A344" s="52"/>
      <c r="B344" s="26" t="str">
        <v>Auto Loan</v>
      </c>
      <c r="C344" s="66">
        <f ca="1"/>
        <v>0</v>
      </c>
      <c r="D344" s="66">
        <f ca="1">IF(B344="","", ROUND(C344 * (VLOOKUP(B344, '💳 Debt Input'!$A$4:$G$9, 3, FALSE) / 12), 2))</f>
        <v>0</v>
      </c>
      <c r="E344" s="66" cm="1">
        <f t="array" aca="1" ref="E344" ca="1">IF(B344="","", ROUND(MIN(C344+D344, MAX(VLOOKUP(B344,'💳 Debt Input'!$A$4:$G$9,4,FALSE), $F$3 - IFERROR(SUM(OFFSET(E344, -MOD(ROW()-6, 6), 0, MOD(ROW()-6, 6))), 0) - IFERROR(SUM(SUMIF('💳 Debt Input'!$A$4:$A$9, OFFSET(B344, 1, 0, 5-MOD(ROW()-6, 6)), '💳 Debt Input'!$D$4:$D$9)), 0))), 2))</f>
        <v>0</v>
      </c>
      <c r="F344" s="66">
        <f t="shared" ca="1" si="11"/>
        <v>0</v>
      </c>
      <c r="G344" s="28" t="str">
        <f t="shared" ca="1" si="10"/>
        <v>Paid off</v>
      </c>
      <c r="H344" s="28"/>
    </row>
    <row r="345" spans="1:8" ht="18" customHeight="1" x14ac:dyDescent="0.35">
      <c r="A345" s="52"/>
      <c r="B345" s="26" t="str">
        <v>Travel Card</v>
      </c>
      <c r="C345" s="66">
        <f ca="1"/>
        <v>0</v>
      </c>
      <c r="D345" s="66">
        <f ca="1">IF(B345="","", ROUND(C345 * (VLOOKUP(B345, '💳 Debt Input'!$A$4:$G$9, 3, FALSE) / 12), 2))</f>
        <v>0</v>
      </c>
      <c r="E345" s="66" cm="1">
        <f t="array" aca="1" ref="E345" ca="1">IF(B345="","", ROUND(MIN(C345+D345, MAX(VLOOKUP(B345,'💳 Debt Input'!$A$4:$G$9,4,FALSE), $F$3 - IFERROR(SUM(OFFSET(E345, -MOD(ROW()-6, 6), 0, MOD(ROW()-6, 6))), 0) - IFERROR(SUM(SUMIF('💳 Debt Input'!$A$4:$A$9, OFFSET(B345, 1, 0, 5-MOD(ROW()-6, 6)), '💳 Debt Input'!$D$4:$D$9)), 0))), 2))</f>
        <v>0</v>
      </c>
      <c r="F345" s="66">
        <f t="shared" ca="1" si="11"/>
        <v>0</v>
      </c>
      <c r="G345" s="28" t="str">
        <f t="shared" ca="1" si="10"/>
        <v>Paid off</v>
      </c>
      <c r="H345" s="28"/>
    </row>
    <row r="346" spans="1:8" ht="18" customHeight="1" x14ac:dyDescent="0.35">
      <c r="A346" s="49"/>
      <c r="B346" s="6" t="str">
        <v>Rewards Visa</v>
      </c>
      <c r="C346" s="63">
        <f ca="1"/>
        <v>4623.83</v>
      </c>
      <c r="D346" s="63">
        <f ca="1">IF(B346="","", ROUND(C346 * (VLOOKUP(B346, '💳 Debt Input'!$A$4:$G$9, 3, FALSE) / 12), 2))</f>
        <v>138.71</v>
      </c>
      <c r="E346" s="63" cm="1">
        <f t="array" aca="1" ref="E346" ca="1">IF(B346="","", ROUND(MIN(C346+D346, MAX(VLOOKUP(B346,'💳 Debt Input'!$A$4:$G$9,4,FALSE), $F$3 - IFERROR(SUM(OFFSET(E346, -MOD(ROW()-6, 6), 0, MOD(ROW()-6, 6))), 0) - IFERROR(SUM(SUMIF('💳 Debt Input'!$A$4:$A$9, OFFSET(B346, 1, 0, 5-MOD(ROW()-6, 6)), '💳 Debt Input'!$D$4:$D$9)), 0))), 2))</f>
        <v>985</v>
      </c>
      <c r="F346" s="63">
        <f t="shared" ca="1" si="11"/>
        <v>3777.54</v>
      </c>
      <c r="G346" s="22" t="str">
        <f t="shared" ca="1" si="10"/>
        <v>Active</v>
      </c>
      <c r="H346" s="22"/>
    </row>
    <row r="347" spans="1:8" ht="18" customHeight="1" x14ac:dyDescent="0.35">
      <c r="A347" s="51">
        <v>57</v>
      </c>
      <c r="B347" s="56" t="str" cm="1">
        <f t="array" ref="B347:B352">B341:B346</f>
        <v>Store Card</v>
      </c>
      <c r="C347" s="65" cm="1">
        <f t="array" aca="1" ref="C347:C352" ca="1">F341:F346</f>
        <v>0</v>
      </c>
      <c r="D347" s="65">
        <f ca="1">IF(B347="","", ROUND(C347 * (VLOOKUP(B347, '💳 Debt Input'!$A$4:$G$9, 3, FALSE) / 12), 2))</f>
        <v>0</v>
      </c>
      <c r="E347" s="65" cm="1">
        <f t="array" aca="1" ref="E347" ca="1">IF(B347="","", ROUND(MIN(C347+D347, MAX(VLOOKUP(B347,'💳 Debt Input'!$A$4:$G$9,4,FALSE), $F$3 - IFERROR(SUM(OFFSET(E347, -MOD(ROW()-6, 6), 0, MOD(ROW()-6, 6))), 0) - IFERROR(SUM(SUMIF('💳 Debt Input'!$A$4:$A$9, OFFSET(B347, 1, 0, 5-MOD(ROW()-6, 6)), '💳 Debt Input'!$D$4:$D$9)), 0))), 2))</f>
        <v>0</v>
      </c>
      <c r="F347" s="65">
        <f t="shared" ca="1" si="11"/>
        <v>0</v>
      </c>
      <c r="G347" s="25" t="str">
        <f t="shared" ca="1" si="10"/>
        <v>Paid off</v>
      </c>
      <c r="H347" s="25"/>
    </row>
    <row r="348" spans="1:8" ht="18" customHeight="1" x14ac:dyDescent="0.35">
      <c r="A348" s="52"/>
      <c r="B348" s="26" t="str">
        <v>Medical Bill</v>
      </c>
      <c r="C348" s="66">
        <f ca="1"/>
        <v>0</v>
      </c>
      <c r="D348" s="66">
        <f ca="1">IF(B348="","", ROUND(C348 * (VLOOKUP(B348, '💳 Debt Input'!$A$4:$G$9, 3, FALSE) / 12), 2))</f>
        <v>0</v>
      </c>
      <c r="E348" s="66" cm="1">
        <f t="array" aca="1" ref="E348" ca="1">IF(B348="","", ROUND(MIN(C348+D348, MAX(VLOOKUP(B348,'💳 Debt Input'!$A$4:$G$9,4,FALSE), $F$3 - IFERROR(SUM(OFFSET(E348, -MOD(ROW()-6, 6), 0, MOD(ROW()-6, 6))), 0) - IFERROR(SUM(SUMIF('💳 Debt Input'!$A$4:$A$9, OFFSET(B348, 1, 0, 5-MOD(ROW()-6, 6)), '💳 Debt Input'!$D$4:$D$9)), 0))), 2))</f>
        <v>0</v>
      </c>
      <c r="F348" s="66">
        <f t="shared" ca="1" si="11"/>
        <v>0</v>
      </c>
      <c r="G348" s="28" t="str">
        <f t="shared" ca="1" si="10"/>
        <v>Paid off</v>
      </c>
      <c r="H348" s="28"/>
    </row>
    <row r="349" spans="1:8" ht="18" customHeight="1" x14ac:dyDescent="0.35">
      <c r="A349" s="52"/>
      <c r="B349" s="26" t="str">
        <v>Personal Loan</v>
      </c>
      <c r="C349" s="66">
        <f ca="1"/>
        <v>0</v>
      </c>
      <c r="D349" s="66">
        <f ca="1">IF(B349="","", ROUND(C349 * (VLOOKUP(B349, '💳 Debt Input'!$A$4:$G$9, 3, FALSE) / 12), 2))</f>
        <v>0</v>
      </c>
      <c r="E349" s="66" cm="1">
        <f t="array" aca="1" ref="E349" ca="1">IF(B349="","", ROUND(MIN(C349+D349, MAX(VLOOKUP(B349,'💳 Debt Input'!$A$4:$G$9,4,FALSE), $F$3 - IFERROR(SUM(OFFSET(E349, -MOD(ROW()-6, 6), 0, MOD(ROW()-6, 6))), 0) - IFERROR(SUM(SUMIF('💳 Debt Input'!$A$4:$A$9, OFFSET(B349, 1, 0, 5-MOD(ROW()-6, 6)), '💳 Debt Input'!$D$4:$D$9)), 0))), 2))</f>
        <v>0</v>
      </c>
      <c r="F349" s="66">
        <f t="shared" ca="1" si="11"/>
        <v>0</v>
      </c>
      <c r="G349" s="28" t="str">
        <f t="shared" ca="1" si="10"/>
        <v>Paid off</v>
      </c>
      <c r="H349" s="28"/>
    </row>
    <row r="350" spans="1:8" ht="18" customHeight="1" x14ac:dyDescent="0.35">
      <c r="A350" s="52"/>
      <c r="B350" s="26" t="str">
        <v>Auto Loan</v>
      </c>
      <c r="C350" s="66">
        <f ca="1"/>
        <v>0</v>
      </c>
      <c r="D350" s="66">
        <f ca="1">IF(B350="","", ROUND(C350 * (VLOOKUP(B350, '💳 Debt Input'!$A$4:$G$9, 3, FALSE) / 12), 2))</f>
        <v>0</v>
      </c>
      <c r="E350" s="66" cm="1">
        <f t="array" aca="1" ref="E350" ca="1">IF(B350="","", ROUND(MIN(C350+D350, MAX(VLOOKUP(B350,'💳 Debt Input'!$A$4:$G$9,4,FALSE), $F$3 - IFERROR(SUM(OFFSET(E350, -MOD(ROW()-6, 6), 0, MOD(ROW()-6, 6))), 0) - IFERROR(SUM(SUMIF('💳 Debt Input'!$A$4:$A$9, OFFSET(B350, 1, 0, 5-MOD(ROW()-6, 6)), '💳 Debt Input'!$D$4:$D$9)), 0))), 2))</f>
        <v>0</v>
      </c>
      <c r="F350" s="66">
        <f t="shared" ca="1" si="11"/>
        <v>0</v>
      </c>
      <c r="G350" s="28" t="str">
        <f t="shared" ca="1" si="10"/>
        <v>Paid off</v>
      </c>
      <c r="H350" s="28"/>
    </row>
    <row r="351" spans="1:8" ht="18" customHeight="1" x14ac:dyDescent="0.35">
      <c r="A351" s="52"/>
      <c r="B351" s="26" t="str">
        <v>Travel Card</v>
      </c>
      <c r="C351" s="66">
        <f ca="1"/>
        <v>0</v>
      </c>
      <c r="D351" s="66">
        <f ca="1">IF(B351="","", ROUND(C351 * (VLOOKUP(B351, '💳 Debt Input'!$A$4:$G$9, 3, FALSE) / 12), 2))</f>
        <v>0</v>
      </c>
      <c r="E351" s="66" cm="1">
        <f t="array" aca="1" ref="E351" ca="1">IF(B351="","", ROUND(MIN(C351+D351, MAX(VLOOKUP(B351,'💳 Debt Input'!$A$4:$G$9,4,FALSE), $F$3 - IFERROR(SUM(OFFSET(E351, -MOD(ROW()-6, 6), 0, MOD(ROW()-6, 6))), 0) - IFERROR(SUM(SUMIF('💳 Debt Input'!$A$4:$A$9, OFFSET(B351, 1, 0, 5-MOD(ROW()-6, 6)), '💳 Debt Input'!$D$4:$D$9)), 0))), 2))</f>
        <v>0</v>
      </c>
      <c r="F351" s="66">
        <f t="shared" ca="1" si="11"/>
        <v>0</v>
      </c>
      <c r="G351" s="28" t="str">
        <f t="shared" ca="1" si="10"/>
        <v>Paid off</v>
      </c>
      <c r="H351" s="28"/>
    </row>
    <row r="352" spans="1:8" ht="18" customHeight="1" x14ac:dyDescent="0.35">
      <c r="A352" s="47"/>
      <c r="B352" s="8" t="str">
        <v>Rewards Visa</v>
      </c>
      <c r="C352" s="61">
        <f ca="1"/>
        <v>3777.54</v>
      </c>
      <c r="D352" s="61">
        <f ca="1">IF(B352="","", ROUND(C352 * (VLOOKUP(B352, '💳 Debt Input'!$A$4:$G$9, 3, FALSE) / 12), 2))</f>
        <v>113.33</v>
      </c>
      <c r="E352" s="61" cm="1">
        <f t="array" aca="1" ref="E352" ca="1">IF(B352="","", ROUND(MIN(C352+D352, MAX(VLOOKUP(B352,'💳 Debt Input'!$A$4:$G$9,4,FALSE), $F$3 - IFERROR(SUM(OFFSET(E352, -MOD(ROW()-6, 6), 0, MOD(ROW()-6, 6))), 0) - IFERROR(SUM(SUMIF('💳 Debt Input'!$A$4:$A$9, OFFSET(B352, 1, 0, 5-MOD(ROW()-6, 6)), '💳 Debt Input'!$D$4:$D$9)), 0))), 2))</f>
        <v>985</v>
      </c>
      <c r="F352" s="61">
        <f t="shared" ca="1" si="11"/>
        <v>2905.87</v>
      </c>
      <c r="G352" s="19" t="str">
        <f t="shared" ca="1" si="10"/>
        <v>Active</v>
      </c>
      <c r="H352" s="19"/>
    </row>
    <row r="353" spans="1:8" ht="18" customHeight="1" x14ac:dyDescent="0.35">
      <c r="A353" s="51">
        <v>58</v>
      </c>
      <c r="B353" s="56" t="str" cm="1">
        <f t="array" ref="B353:B358">B347:B352</f>
        <v>Store Card</v>
      </c>
      <c r="C353" s="65" cm="1">
        <f t="array" aca="1" ref="C353:C358" ca="1">F347:F352</f>
        <v>0</v>
      </c>
      <c r="D353" s="65">
        <f ca="1">IF(B353="","", ROUND(C353 * (VLOOKUP(B353, '💳 Debt Input'!$A$4:$G$9, 3, FALSE) / 12), 2))</f>
        <v>0</v>
      </c>
      <c r="E353" s="65" cm="1">
        <f t="array" aca="1" ref="E353" ca="1">IF(B353="","", ROUND(MIN(C353+D353, MAX(VLOOKUP(B353,'💳 Debt Input'!$A$4:$G$9,4,FALSE), $F$3 - IFERROR(SUM(OFFSET(E353, -MOD(ROW()-6, 6), 0, MOD(ROW()-6, 6))), 0) - IFERROR(SUM(SUMIF('💳 Debt Input'!$A$4:$A$9, OFFSET(B353, 1, 0, 5-MOD(ROW()-6, 6)), '💳 Debt Input'!$D$4:$D$9)), 0))), 2))</f>
        <v>0</v>
      </c>
      <c r="F353" s="65">
        <f t="shared" ca="1" si="11"/>
        <v>0</v>
      </c>
      <c r="G353" s="25" t="str">
        <f t="shared" ca="1" si="10"/>
        <v>Paid off</v>
      </c>
      <c r="H353" s="25"/>
    </row>
    <row r="354" spans="1:8" ht="18" customHeight="1" x14ac:dyDescent="0.35">
      <c r="A354" s="52"/>
      <c r="B354" s="26" t="str">
        <v>Medical Bill</v>
      </c>
      <c r="C354" s="66">
        <f ca="1"/>
        <v>0</v>
      </c>
      <c r="D354" s="66">
        <f ca="1">IF(B354="","", ROUND(C354 * (VLOOKUP(B354, '💳 Debt Input'!$A$4:$G$9, 3, FALSE) / 12), 2))</f>
        <v>0</v>
      </c>
      <c r="E354" s="66" cm="1">
        <f t="array" aca="1" ref="E354" ca="1">IF(B354="","", ROUND(MIN(C354+D354, MAX(VLOOKUP(B354,'💳 Debt Input'!$A$4:$G$9,4,FALSE), $F$3 - IFERROR(SUM(OFFSET(E354, -MOD(ROW()-6, 6), 0, MOD(ROW()-6, 6))), 0) - IFERROR(SUM(SUMIF('💳 Debt Input'!$A$4:$A$9, OFFSET(B354, 1, 0, 5-MOD(ROW()-6, 6)), '💳 Debt Input'!$D$4:$D$9)), 0))), 2))</f>
        <v>0</v>
      </c>
      <c r="F354" s="66">
        <f t="shared" ca="1" si="11"/>
        <v>0</v>
      </c>
      <c r="G354" s="28" t="str">
        <f t="shared" ca="1" si="10"/>
        <v>Paid off</v>
      </c>
      <c r="H354" s="28"/>
    </row>
    <row r="355" spans="1:8" ht="18" customHeight="1" x14ac:dyDescent="0.35">
      <c r="A355" s="52"/>
      <c r="B355" s="26" t="str">
        <v>Personal Loan</v>
      </c>
      <c r="C355" s="66">
        <f ca="1"/>
        <v>0</v>
      </c>
      <c r="D355" s="66">
        <f ca="1">IF(B355="","", ROUND(C355 * (VLOOKUP(B355, '💳 Debt Input'!$A$4:$G$9, 3, FALSE) / 12), 2))</f>
        <v>0</v>
      </c>
      <c r="E355" s="66" cm="1">
        <f t="array" aca="1" ref="E355" ca="1">IF(B355="","", ROUND(MIN(C355+D355, MAX(VLOOKUP(B355,'💳 Debt Input'!$A$4:$G$9,4,FALSE), $F$3 - IFERROR(SUM(OFFSET(E355, -MOD(ROW()-6, 6), 0, MOD(ROW()-6, 6))), 0) - IFERROR(SUM(SUMIF('💳 Debt Input'!$A$4:$A$9, OFFSET(B355, 1, 0, 5-MOD(ROW()-6, 6)), '💳 Debt Input'!$D$4:$D$9)), 0))), 2))</f>
        <v>0</v>
      </c>
      <c r="F355" s="66">
        <f t="shared" ca="1" si="11"/>
        <v>0</v>
      </c>
      <c r="G355" s="28" t="str">
        <f t="shared" ca="1" si="10"/>
        <v>Paid off</v>
      </c>
      <c r="H355" s="28"/>
    </row>
    <row r="356" spans="1:8" ht="18" customHeight="1" x14ac:dyDescent="0.35">
      <c r="A356" s="52"/>
      <c r="B356" s="26" t="str">
        <v>Auto Loan</v>
      </c>
      <c r="C356" s="66">
        <f ca="1"/>
        <v>0</v>
      </c>
      <c r="D356" s="66">
        <f ca="1">IF(B356="","", ROUND(C356 * (VLOOKUP(B356, '💳 Debt Input'!$A$4:$G$9, 3, FALSE) / 12), 2))</f>
        <v>0</v>
      </c>
      <c r="E356" s="66" cm="1">
        <f t="array" aca="1" ref="E356" ca="1">IF(B356="","", ROUND(MIN(C356+D356, MAX(VLOOKUP(B356,'💳 Debt Input'!$A$4:$G$9,4,FALSE), $F$3 - IFERROR(SUM(OFFSET(E356, -MOD(ROW()-6, 6), 0, MOD(ROW()-6, 6))), 0) - IFERROR(SUM(SUMIF('💳 Debt Input'!$A$4:$A$9, OFFSET(B356, 1, 0, 5-MOD(ROW()-6, 6)), '💳 Debt Input'!$D$4:$D$9)), 0))), 2))</f>
        <v>0</v>
      </c>
      <c r="F356" s="66">
        <f t="shared" ca="1" si="11"/>
        <v>0</v>
      </c>
      <c r="G356" s="28" t="str">
        <f t="shared" ca="1" si="10"/>
        <v>Paid off</v>
      </c>
      <c r="H356" s="28"/>
    </row>
    <row r="357" spans="1:8" ht="18" customHeight="1" x14ac:dyDescent="0.35">
      <c r="A357" s="52"/>
      <c r="B357" s="26" t="str">
        <v>Travel Card</v>
      </c>
      <c r="C357" s="66">
        <f ca="1"/>
        <v>0</v>
      </c>
      <c r="D357" s="66">
        <f ca="1">IF(B357="","", ROUND(C357 * (VLOOKUP(B357, '💳 Debt Input'!$A$4:$G$9, 3, FALSE) / 12), 2))</f>
        <v>0</v>
      </c>
      <c r="E357" s="66" cm="1">
        <f t="array" aca="1" ref="E357" ca="1">IF(B357="","", ROUND(MIN(C357+D357, MAX(VLOOKUP(B357,'💳 Debt Input'!$A$4:$G$9,4,FALSE), $F$3 - IFERROR(SUM(OFFSET(E357, -MOD(ROW()-6, 6), 0, MOD(ROW()-6, 6))), 0) - IFERROR(SUM(SUMIF('💳 Debt Input'!$A$4:$A$9, OFFSET(B357, 1, 0, 5-MOD(ROW()-6, 6)), '💳 Debt Input'!$D$4:$D$9)), 0))), 2))</f>
        <v>0</v>
      </c>
      <c r="F357" s="66">
        <f t="shared" ca="1" si="11"/>
        <v>0</v>
      </c>
      <c r="G357" s="28" t="str">
        <f t="shared" ca="1" si="10"/>
        <v>Paid off</v>
      </c>
      <c r="H357" s="28"/>
    </row>
    <row r="358" spans="1:8" ht="18" customHeight="1" x14ac:dyDescent="0.35">
      <c r="A358" s="49"/>
      <c r="B358" s="6" t="str">
        <v>Rewards Visa</v>
      </c>
      <c r="C358" s="63">
        <f ca="1"/>
        <v>2905.87</v>
      </c>
      <c r="D358" s="63">
        <f ca="1">IF(B358="","", ROUND(C358 * (VLOOKUP(B358, '💳 Debt Input'!$A$4:$G$9, 3, FALSE) / 12), 2))</f>
        <v>87.18</v>
      </c>
      <c r="E358" s="63" cm="1">
        <f t="array" aca="1" ref="E358" ca="1">IF(B358="","", ROUND(MIN(C358+D358, MAX(VLOOKUP(B358,'💳 Debt Input'!$A$4:$G$9,4,FALSE), $F$3 - IFERROR(SUM(OFFSET(E358, -MOD(ROW()-6, 6), 0, MOD(ROW()-6, 6))), 0) - IFERROR(SUM(SUMIF('💳 Debt Input'!$A$4:$A$9, OFFSET(B358, 1, 0, 5-MOD(ROW()-6, 6)), '💳 Debt Input'!$D$4:$D$9)), 0))), 2))</f>
        <v>985</v>
      </c>
      <c r="F358" s="63">
        <f t="shared" ca="1" si="11"/>
        <v>2008.05</v>
      </c>
      <c r="G358" s="22" t="str">
        <f t="shared" ca="1" si="10"/>
        <v>Active</v>
      </c>
      <c r="H358" s="22"/>
    </row>
    <row r="359" spans="1:8" ht="18" customHeight="1" x14ac:dyDescent="0.35">
      <c r="A359" s="51">
        <v>59</v>
      </c>
      <c r="B359" s="56" t="str" cm="1">
        <f t="array" ref="B359:B364">B353:B358</f>
        <v>Store Card</v>
      </c>
      <c r="C359" s="65" cm="1">
        <f t="array" aca="1" ref="C359:C364" ca="1">F353:F358</f>
        <v>0</v>
      </c>
      <c r="D359" s="65">
        <f ca="1">IF(B359="","", ROUND(C359 * (VLOOKUP(B359, '💳 Debt Input'!$A$4:$G$9, 3, FALSE) / 12), 2))</f>
        <v>0</v>
      </c>
      <c r="E359" s="65" cm="1">
        <f t="array" aca="1" ref="E359" ca="1">IF(B359="","", ROUND(MIN(C359+D359, MAX(VLOOKUP(B359,'💳 Debt Input'!$A$4:$G$9,4,FALSE), $F$3 - IFERROR(SUM(OFFSET(E359, -MOD(ROW()-6, 6), 0, MOD(ROW()-6, 6))), 0) - IFERROR(SUM(SUMIF('💳 Debt Input'!$A$4:$A$9, OFFSET(B359, 1, 0, 5-MOD(ROW()-6, 6)), '💳 Debt Input'!$D$4:$D$9)), 0))), 2))</f>
        <v>0</v>
      </c>
      <c r="F359" s="65">
        <f t="shared" ca="1" si="11"/>
        <v>0</v>
      </c>
      <c r="G359" s="25" t="str">
        <f t="shared" ca="1" si="10"/>
        <v>Paid off</v>
      </c>
      <c r="H359" s="25"/>
    </row>
    <row r="360" spans="1:8" ht="18" customHeight="1" x14ac:dyDescent="0.35">
      <c r="A360" s="52"/>
      <c r="B360" s="26" t="str">
        <v>Medical Bill</v>
      </c>
      <c r="C360" s="66">
        <f ca="1"/>
        <v>0</v>
      </c>
      <c r="D360" s="66">
        <f ca="1">IF(B360="","", ROUND(C360 * (VLOOKUP(B360, '💳 Debt Input'!$A$4:$G$9, 3, FALSE) / 12), 2))</f>
        <v>0</v>
      </c>
      <c r="E360" s="66" cm="1">
        <f t="array" aca="1" ref="E360" ca="1">IF(B360="","", ROUND(MIN(C360+D360, MAX(VLOOKUP(B360,'💳 Debt Input'!$A$4:$G$9,4,FALSE), $F$3 - IFERROR(SUM(OFFSET(E360, -MOD(ROW()-6, 6), 0, MOD(ROW()-6, 6))), 0) - IFERROR(SUM(SUMIF('💳 Debt Input'!$A$4:$A$9, OFFSET(B360, 1, 0, 5-MOD(ROW()-6, 6)), '💳 Debt Input'!$D$4:$D$9)), 0))), 2))</f>
        <v>0</v>
      </c>
      <c r="F360" s="66">
        <f t="shared" ca="1" si="11"/>
        <v>0</v>
      </c>
      <c r="G360" s="28" t="str">
        <f t="shared" ca="1" si="10"/>
        <v>Paid off</v>
      </c>
      <c r="H360" s="28"/>
    </row>
    <row r="361" spans="1:8" ht="18" customHeight="1" x14ac:dyDescent="0.35">
      <c r="A361" s="52"/>
      <c r="B361" s="26" t="str">
        <v>Personal Loan</v>
      </c>
      <c r="C361" s="66">
        <f ca="1"/>
        <v>0</v>
      </c>
      <c r="D361" s="66">
        <f ca="1">IF(B361="","", ROUND(C361 * (VLOOKUP(B361, '💳 Debt Input'!$A$4:$G$9, 3, FALSE) / 12), 2))</f>
        <v>0</v>
      </c>
      <c r="E361" s="66" cm="1">
        <f t="array" aca="1" ref="E361" ca="1">IF(B361="","", ROUND(MIN(C361+D361, MAX(VLOOKUP(B361,'💳 Debt Input'!$A$4:$G$9,4,FALSE), $F$3 - IFERROR(SUM(OFFSET(E361, -MOD(ROW()-6, 6), 0, MOD(ROW()-6, 6))), 0) - IFERROR(SUM(SUMIF('💳 Debt Input'!$A$4:$A$9, OFFSET(B361, 1, 0, 5-MOD(ROW()-6, 6)), '💳 Debt Input'!$D$4:$D$9)), 0))), 2))</f>
        <v>0</v>
      </c>
      <c r="F361" s="66">
        <f t="shared" ca="1" si="11"/>
        <v>0</v>
      </c>
      <c r="G361" s="28" t="str">
        <f t="shared" ca="1" si="10"/>
        <v>Paid off</v>
      </c>
      <c r="H361" s="28"/>
    </row>
    <row r="362" spans="1:8" ht="18" customHeight="1" x14ac:dyDescent="0.35">
      <c r="A362" s="52"/>
      <c r="B362" s="26" t="str">
        <v>Auto Loan</v>
      </c>
      <c r="C362" s="66">
        <f ca="1"/>
        <v>0</v>
      </c>
      <c r="D362" s="66">
        <f ca="1">IF(B362="","", ROUND(C362 * (VLOOKUP(B362, '💳 Debt Input'!$A$4:$G$9, 3, FALSE) / 12), 2))</f>
        <v>0</v>
      </c>
      <c r="E362" s="66" cm="1">
        <f t="array" aca="1" ref="E362" ca="1">IF(B362="","", ROUND(MIN(C362+D362, MAX(VLOOKUP(B362,'💳 Debt Input'!$A$4:$G$9,4,FALSE), $F$3 - IFERROR(SUM(OFFSET(E362, -MOD(ROW()-6, 6), 0, MOD(ROW()-6, 6))), 0) - IFERROR(SUM(SUMIF('💳 Debt Input'!$A$4:$A$9, OFFSET(B362, 1, 0, 5-MOD(ROW()-6, 6)), '💳 Debt Input'!$D$4:$D$9)), 0))), 2))</f>
        <v>0</v>
      </c>
      <c r="F362" s="66">
        <f t="shared" ca="1" si="11"/>
        <v>0</v>
      </c>
      <c r="G362" s="28" t="str">
        <f t="shared" ca="1" si="10"/>
        <v>Paid off</v>
      </c>
      <c r="H362" s="28"/>
    </row>
    <row r="363" spans="1:8" ht="18" customHeight="1" x14ac:dyDescent="0.35">
      <c r="A363" s="52"/>
      <c r="B363" s="26" t="str">
        <v>Travel Card</v>
      </c>
      <c r="C363" s="66">
        <f ca="1"/>
        <v>0</v>
      </c>
      <c r="D363" s="66">
        <f ca="1">IF(B363="","", ROUND(C363 * (VLOOKUP(B363, '💳 Debt Input'!$A$4:$G$9, 3, FALSE) / 12), 2))</f>
        <v>0</v>
      </c>
      <c r="E363" s="66" cm="1">
        <f t="array" aca="1" ref="E363" ca="1">IF(B363="","", ROUND(MIN(C363+D363, MAX(VLOOKUP(B363,'💳 Debt Input'!$A$4:$G$9,4,FALSE), $F$3 - IFERROR(SUM(OFFSET(E363, -MOD(ROW()-6, 6), 0, MOD(ROW()-6, 6))), 0) - IFERROR(SUM(SUMIF('💳 Debt Input'!$A$4:$A$9, OFFSET(B363, 1, 0, 5-MOD(ROW()-6, 6)), '💳 Debt Input'!$D$4:$D$9)), 0))), 2))</f>
        <v>0</v>
      </c>
      <c r="F363" s="66">
        <f t="shared" ca="1" si="11"/>
        <v>0</v>
      </c>
      <c r="G363" s="28" t="str">
        <f t="shared" ca="1" si="10"/>
        <v>Paid off</v>
      </c>
      <c r="H363" s="28"/>
    </row>
    <row r="364" spans="1:8" ht="18" customHeight="1" x14ac:dyDescent="0.35">
      <c r="A364" s="47"/>
      <c r="B364" s="8" t="str">
        <v>Rewards Visa</v>
      </c>
      <c r="C364" s="61">
        <f ca="1"/>
        <v>2008.05</v>
      </c>
      <c r="D364" s="61">
        <f ca="1">IF(B364="","", ROUND(C364 * (VLOOKUP(B364, '💳 Debt Input'!$A$4:$G$9, 3, FALSE) / 12), 2))</f>
        <v>60.24</v>
      </c>
      <c r="E364" s="61" cm="1">
        <f t="array" aca="1" ref="E364" ca="1">IF(B364="","", ROUND(MIN(C364+D364, MAX(VLOOKUP(B364,'💳 Debt Input'!$A$4:$G$9,4,FALSE), $F$3 - IFERROR(SUM(OFFSET(E364, -MOD(ROW()-6, 6), 0, MOD(ROW()-6, 6))), 0) - IFERROR(SUM(SUMIF('💳 Debt Input'!$A$4:$A$9, OFFSET(B364, 1, 0, 5-MOD(ROW()-6, 6)), '💳 Debt Input'!$D$4:$D$9)), 0))), 2))</f>
        <v>985</v>
      </c>
      <c r="F364" s="61">
        <f t="shared" ca="1" si="11"/>
        <v>1083.29</v>
      </c>
      <c r="G364" s="19" t="str">
        <f t="shared" ca="1" si="10"/>
        <v>Active</v>
      </c>
      <c r="H364" s="19"/>
    </row>
    <row r="365" spans="1:8" ht="18" customHeight="1" x14ac:dyDescent="0.35">
      <c r="A365" s="51">
        <v>60</v>
      </c>
      <c r="B365" s="56" t="str" cm="1">
        <f t="array" ref="B365:B370">B359:B364</f>
        <v>Store Card</v>
      </c>
      <c r="C365" s="65" cm="1">
        <f t="array" aca="1" ref="C365:C370" ca="1">F359:F364</f>
        <v>0</v>
      </c>
      <c r="D365" s="65">
        <f ca="1">IF(B365="","", ROUND(C365 * (VLOOKUP(B365, '💳 Debt Input'!$A$4:$G$9, 3, FALSE) / 12), 2))</f>
        <v>0</v>
      </c>
      <c r="E365" s="65" cm="1">
        <f t="array" aca="1" ref="E365" ca="1">IF(B365="","", ROUND(MIN(C365+D365, MAX(VLOOKUP(B365,'💳 Debt Input'!$A$4:$G$9,4,FALSE), $F$3 - IFERROR(SUM(OFFSET(E365, -MOD(ROW()-6, 6), 0, MOD(ROW()-6, 6))), 0) - IFERROR(SUM(SUMIF('💳 Debt Input'!$A$4:$A$9, OFFSET(B365, 1, 0, 5-MOD(ROW()-6, 6)), '💳 Debt Input'!$D$4:$D$9)), 0))), 2))</f>
        <v>0</v>
      </c>
      <c r="F365" s="65">
        <f t="shared" ca="1" si="11"/>
        <v>0</v>
      </c>
      <c r="G365" s="25" t="str">
        <f t="shared" ca="1" si="10"/>
        <v>Paid off</v>
      </c>
      <c r="H365" s="25"/>
    </row>
    <row r="366" spans="1:8" ht="18" customHeight="1" x14ac:dyDescent="0.35">
      <c r="A366" s="52"/>
      <c r="B366" s="26" t="str">
        <v>Medical Bill</v>
      </c>
      <c r="C366" s="66">
        <f ca="1"/>
        <v>0</v>
      </c>
      <c r="D366" s="66">
        <f ca="1">IF(B366="","", ROUND(C366 * (VLOOKUP(B366, '💳 Debt Input'!$A$4:$G$9, 3, FALSE) / 12), 2))</f>
        <v>0</v>
      </c>
      <c r="E366" s="66" cm="1">
        <f t="array" aca="1" ref="E366" ca="1">IF(B366="","", ROUND(MIN(C366+D366, MAX(VLOOKUP(B366,'💳 Debt Input'!$A$4:$G$9,4,FALSE), $F$3 - IFERROR(SUM(OFFSET(E366, -MOD(ROW()-6, 6), 0, MOD(ROW()-6, 6))), 0) - IFERROR(SUM(SUMIF('💳 Debt Input'!$A$4:$A$9, OFFSET(B366, 1, 0, 5-MOD(ROW()-6, 6)), '💳 Debt Input'!$D$4:$D$9)), 0))), 2))</f>
        <v>0</v>
      </c>
      <c r="F366" s="66">
        <f t="shared" ca="1" si="11"/>
        <v>0</v>
      </c>
      <c r="G366" s="28" t="str">
        <f t="shared" ca="1" si="10"/>
        <v>Paid off</v>
      </c>
      <c r="H366" s="28"/>
    </row>
    <row r="367" spans="1:8" ht="18" customHeight="1" x14ac:dyDescent="0.35">
      <c r="A367" s="52"/>
      <c r="B367" s="26" t="str">
        <v>Personal Loan</v>
      </c>
      <c r="C367" s="66">
        <f ca="1"/>
        <v>0</v>
      </c>
      <c r="D367" s="66">
        <f ca="1">IF(B367="","", ROUND(C367 * (VLOOKUP(B367, '💳 Debt Input'!$A$4:$G$9, 3, FALSE) / 12), 2))</f>
        <v>0</v>
      </c>
      <c r="E367" s="66" cm="1">
        <f t="array" aca="1" ref="E367" ca="1">IF(B367="","", ROUND(MIN(C367+D367, MAX(VLOOKUP(B367,'💳 Debt Input'!$A$4:$G$9,4,FALSE), $F$3 - IFERROR(SUM(OFFSET(E367, -MOD(ROW()-6, 6), 0, MOD(ROW()-6, 6))), 0) - IFERROR(SUM(SUMIF('💳 Debt Input'!$A$4:$A$9, OFFSET(B367, 1, 0, 5-MOD(ROW()-6, 6)), '💳 Debt Input'!$D$4:$D$9)), 0))), 2))</f>
        <v>0</v>
      </c>
      <c r="F367" s="66">
        <f t="shared" ca="1" si="11"/>
        <v>0</v>
      </c>
      <c r="G367" s="28" t="str">
        <f t="shared" ca="1" si="10"/>
        <v>Paid off</v>
      </c>
      <c r="H367" s="28"/>
    </row>
    <row r="368" spans="1:8" ht="18" customHeight="1" x14ac:dyDescent="0.35">
      <c r="A368" s="52"/>
      <c r="B368" s="26" t="str">
        <v>Auto Loan</v>
      </c>
      <c r="C368" s="66">
        <f ca="1"/>
        <v>0</v>
      </c>
      <c r="D368" s="66">
        <f ca="1">IF(B368="","", ROUND(C368 * (VLOOKUP(B368, '💳 Debt Input'!$A$4:$G$9, 3, FALSE) / 12), 2))</f>
        <v>0</v>
      </c>
      <c r="E368" s="66" cm="1">
        <f t="array" aca="1" ref="E368" ca="1">IF(B368="","", ROUND(MIN(C368+D368, MAX(VLOOKUP(B368,'💳 Debt Input'!$A$4:$G$9,4,FALSE), $F$3 - IFERROR(SUM(OFFSET(E368, -MOD(ROW()-6, 6), 0, MOD(ROW()-6, 6))), 0) - IFERROR(SUM(SUMIF('💳 Debt Input'!$A$4:$A$9, OFFSET(B368, 1, 0, 5-MOD(ROW()-6, 6)), '💳 Debt Input'!$D$4:$D$9)), 0))), 2))</f>
        <v>0</v>
      </c>
      <c r="F368" s="66">
        <f t="shared" ca="1" si="11"/>
        <v>0</v>
      </c>
      <c r="G368" s="28" t="str">
        <f t="shared" ca="1" si="10"/>
        <v>Paid off</v>
      </c>
      <c r="H368" s="28"/>
    </row>
    <row r="369" spans="1:8" ht="18" customHeight="1" x14ac:dyDescent="0.35">
      <c r="A369" s="52"/>
      <c r="B369" s="26" t="str">
        <v>Travel Card</v>
      </c>
      <c r="C369" s="66">
        <f ca="1"/>
        <v>0</v>
      </c>
      <c r="D369" s="66">
        <f ca="1">IF(B369="","", ROUND(C369 * (VLOOKUP(B369, '💳 Debt Input'!$A$4:$G$9, 3, FALSE) / 12), 2))</f>
        <v>0</v>
      </c>
      <c r="E369" s="66" cm="1">
        <f t="array" aca="1" ref="E369" ca="1">IF(B369="","", ROUND(MIN(C369+D369, MAX(VLOOKUP(B369,'💳 Debt Input'!$A$4:$G$9,4,FALSE), $F$3 - IFERROR(SUM(OFFSET(E369, -MOD(ROW()-6, 6), 0, MOD(ROW()-6, 6))), 0) - IFERROR(SUM(SUMIF('💳 Debt Input'!$A$4:$A$9, OFFSET(B369, 1, 0, 5-MOD(ROW()-6, 6)), '💳 Debt Input'!$D$4:$D$9)), 0))), 2))</f>
        <v>0</v>
      </c>
      <c r="F369" s="66">
        <f t="shared" ca="1" si="11"/>
        <v>0</v>
      </c>
      <c r="G369" s="28" t="str">
        <f t="shared" ca="1" si="10"/>
        <v>Paid off</v>
      </c>
      <c r="H369" s="28"/>
    </row>
    <row r="370" spans="1:8" ht="18" customHeight="1" x14ac:dyDescent="0.35">
      <c r="A370" s="49"/>
      <c r="B370" s="6" t="str">
        <v>Rewards Visa</v>
      </c>
      <c r="C370" s="63">
        <f ca="1"/>
        <v>1083.29</v>
      </c>
      <c r="D370" s="63">
        <f ca="1">IF(B370="","", ROUND(C370 * (VLOOKUP(B370, '💳 Debt Input'!$A$4:$G$9, 3, FALSE) / 12), 2))</f>
        <v>32.5</v>
      </c>
      <c r="E370" s="63" cm="1">
        <f t="array" aca="1" ref="E370" ca="1">IF(B370="","", ROUND(MIN(C370+D370, MAX(VLOOKUP(B370,'💳 Debt Input'!$A$4:$G$9,4,FALSE), $F$3 - IFERROR(SUM(OFFSET(E370, -MOD(ROW()-6, 6), 0, MOD(ROW()-6, 6))), 0) - IFERROR(SUM(SUMIF('💳 Debt Input'!$A$4:$A$9, OFFSET(B370, 1, 0, 5-MOD(ROW()-6, 6)), '💳 Debt Input'!$D$4:$D$9)), 0))), 2))</f>
        <v>985</v>
      </c>
      <c r="F370" s="63">
        <f t="shared" ca="1" si="11"/>
        <v>130.79</v>
      </c>
      <c r="G370" s="22" t="str">
        <f t="shared" ca="1" si="10"/>
        <v>Active</v>
      </c>
      <c r="H370" s="22"/>
    </row>
    <row r="371" spans="1:8" ht="18" customHeight="1" x14ac:dyDescent="0.35">
      <c r="A371" s="51">
        <v>61</v>
      </c>
      <c r="B371" s="56" t="str" cm="1">
        <f t="array" ref="B371:B376">B365:B370</f>
        <v>Store Card</v>
      </c>
      <c r="C371" s="65" cm="1">
        <f t="array" aca="1" ref="C371:C376" ca="1">F365:F370</f>
        <v>0</v>
      </c>
      <c r="D371" s="65">
        <f ca="1">IF(B371="","", ROUND(C371 * (VLOOKUP(B371, '💳 Debt Input'!$A$4:$G$9, 3, FALSE) / 12), 2))</f>
        <v>0</v>
      </c>
      <c r="E371" s="65" cm="1">
        <f t="array" aca="1" ref="E371" ca="1">IF(B371="","", ROUND(MIN(C371+D371, MAX(VLOOKUP(B371,'💳 Debt Input'!$A$4:$G$9,4,FALSE), $F$3 - IFERROR(SUM(OFFSET(E371, -MOD(ROW()-6, 6), 0, MOD(ROW()-6, 6))), 0) - IFERROR(SUM(SUMIF('💳 Debt Input'!$A$4:$A$9, OFFSET(B371, 1, 0, 5-MOD(ROW()-6, 6)), '💳 Debt Input'!$D$4:$D$9)), 0))), 2))</f>
        <v>0</v>
      </c>
      <c r="F371" s="65">
        <f t="shared" ca="1" si="11"/>
        <v>0</v>
      </c>
      <c r="G371" s="25" t="str">
        <f t="shared" ca="1" si="10"/>
        <v>Paid off</v>
      </c>
      <c r="H371" s="25"/>
    </row>
    <row r="372" spans="1:8" ht="18" customHeight="1" x14ac:dyDescent="0.35">
      <c r="A372" s="52"/>
      <c r="B372" s="26" t="str">
        <v>Medical Bill</v>
      </c>
      <c r="C372" s="66">
        <f ca="1"/>
        <v>0</v>
      </c>
      <c r="D372" s="66">
        <f ca="1">IF(B372="","", ROUND(C372 * (VLOOKUP(B372, '💳 Debt Input'!$A$4:$G$9, 3, FALSE) / 12), 2))</f>
        <v>0</v>
      </c>
      <c r="E372" s="66" cm="1">
        <f t="array" aca="1" ref="E372" ca="1">IF(B372="","", ROUND(MIN(C372+D372, MAX(VLOOKUP(B372,'💳 Debt Input'!$A$4:$G$9,4,FALSE), $F$3 - IFERROR(SUM(OFFSET(E372, -MOD(ROW()-6, 6), 0, MOD(ROW()-6, 6))), 0) - IFERROR(SUM(SUMIF('💳 Debt Input'!$A$4:$A$9, OFFSET(B372, 1, 0, 5-MOD(ROW()-6, 6)), '💳 Debt Input'!$D$4:$D$9)), 0))), 2))</f>
        <v>0</v>
      </c>
      <c r="F372" s="66">
        <f t="shared" ca="1" si="11"/>
        <v>0</v>
      </c>
      <c r="G372" s="28" t="str">
        <f t="shared" ca="1" si="10"/>
        <v>Paid off</v>
      </c>
      <c r="H372" s="28"/>
    </row>
    <row r="373" spans="1:8" ht="18" customHeight="1" x14ac:dyDescent="0.35">
      <c r="A373" s="52"/>
      <c r="B373" s="26" t="str">
        <v>Personal Loan</v>
      </c>
      <c r="C373" s="66">
        <f ca="1"/>
        <v>0</v>
      </c>
      <c r="D373" s="66">
        <f ca="1">IF(B373="","", ROUND(C373 * (VLOOKUP(B373, '💳 Debt Input'!$A$4:$G$9, 3, FALSE) / 12), 2))</f>
        <v>0</v>
      </c>
      <c r="E373" s="66" cm="1">
        <f t="array" aca="1" ref="E373" ca="1">IF(B373="","", ROUND(MIN(C373+D373, MAX(VLOOKUP(B373,'💳 Debt Input'!$A$4:$G$9,4,FALSE), $F$3 - IFERROR(SUM(OFFSET(E373, -MOD(ROW()-6, 6), 0, MOD(ROW()-6, 6))), 0) - IFERROR(SUM(SUMIF('💳 Debt Input'!$A$4:$A$9, OFFSET(B373, 1, 0, 5-MOD(ROW()-6, 6)), '💳 Debt Input'!$D$4:$D$9)), 0))), 2))</f>
        <v>0</v>
      </c>
      <c r="F373" s="66">
        <f t="shared" ca="1" si="11"/>
        <v>0</v>
      </c>
      <c r="G373" s="28" t="str">
        <f t="shared" ca="1" si="10"/>
        <v>Paid off</v>
      </c>
      <c r="H373" s="28"/>
    </row>
    <row r="374" spans="1:8" ht="18" customHeight="1" x14ac:dyDescent="0.35">
      <c r="A374" s="52"/>
      <c r="B374" s="26" t="str">
        <v>Auto Loan</v>
      </c>
      <c r="C374" s="66">
        <f ca="1"/>
        <v>0</v>
      </c>
      <c r="D374" s="66">
        <f ca="1">IF(B374="","", ROUND(C374 * (VLOOKUP(B374, '💳 Debt Input'!$A$4:$G$9, 3, FALSE) / 12), 2))</f>
        <v>0</v>
      </c>
      <c r="E374" s="66" cm="1">
        <f t="array" aca="1" ref="E374" ca="1">IF(B374="","", ROUND(MIN(C374+D374, MAX(VLOOKUP(B374,'💳 Debt Input'!$A$4:$G$9,4,FALSE), $F$3 - IFERROR(SUM(OFFSET(E374, -MOD(ROW()-6, 6), 0, MOD(ROW()-6, 6))), 0) - IFERROR(SUM(SUMIF('💳 Debt Input'!$A$4:$A$9, OFFSET(B374, 1, 0, 5-MOD(ROW()-6, 6)), '💳 Debt Input'!$D$4:$D$9)), 0))), 2))</f>
        <v>0</v>
      </c>
      <c r="F374" s="66">
        <f t="shared" ca="1" si="11"/>
        <v>0</v>
      </c>
      <c r="G374" s="28" t="str">
        <f t="shared" ca="1" si="10"/>
        <v>Paid off</v>
      </c>
      <c r="H374" s="28"/>
    </row>
    <row r="375" spans="1:8" ht="18" customHeight="1" x14ac:dyDescent="0.35">
      <c r="A375" s="52"/>
      <c r="B375" s="26" t="str">
        <v>Travel Card</v>
      </c>
      <c r="C375" s="66">
        <f ca="1"/>
        <v>0</v>
      </c>
      <c r="D375" s="66">
        <f ca="1">IF(B375="","", ROUND(C375 * (VLOOKUP(B375, '💳 Debt Input'!$A$4:$G$9, 3, FALSE) / 12), 2))</f>
        <v>0</v>
      </c>
      <c r="E375" s="66" cm="1">
        <f t="array" aca="1" ref="E375" ca="1">IF(B375="","", ROUND(MIN(C375+D375, MAX(VLOOKUP(B375,'💳 Debt Input'!$A$4:$G$9,4,FALSE), $F$3 - IFERROR(SUM(OFFSET(E375, -MOD(ROW()-6, 6), 0, MOD(ROW()-6, 6))), 0) - IFERROR(SUM(SUMIF('💳 Debt Input'!$A$4:$A$9, OFFSET(B375, 1, 0, 5-MOD(ROW()-6, 6)), '💳 Debt Input'!$D$4:$D$9)), 0))), 2))</f>
        <v>0</v>
      </c>
      <c r="F375" s="66">
        <f t="shared" ca="1" si="11"/>
        <v>0</v>
      </c>
      <c r="G375" s="28" t="str">
        <f t="shared" ca="1" si="10"/>
        <v>Paid off</v>
      </c>
      <c r="H375" s="28"/>
    </row>
    <row r="376" spans="1:8" ht="18" customHeight="1" x14ac:dyDescent="0.35">
      <c r="A376" s="47"/>
      <c r="B376" s="8" t="str">
        <v>Rewards Visa</v>
      </c>
      <c r="C376" s="61">
        <f ca="1"/>
        <v>130.79</v>
      </c>
      <c r="D376" s="61">
        <f ca="1">IF(B376="","", ROUND(C376 * (VLOOKUP(B376, '💳 Debt Input'!$A$4:$G$9, 3, FALSE) / 12), 2))</f>
        <v>3.92</v>
      </c>
      <c r="E376" s="61" cm="1">
        <f t="array" aca="1" ref="E376" ca="1">IF(B376="","", ROUND(MIN(C376+D376, MAX(VLOOKUP(B376,'💳 Debt Input'!$A$4:$G$9,4,FALSE), $F$3 - IFERROR(SUM(OFFSET(E376, -MOD(ROW()-6, 6), 0, MOD(ROW()-6, 6))), 0) - IFERROR(SUM(SUMIF('💳 Debt Input'!$A$4:$A$9, OFFSET(B376, 1, 0, 5-MOD(ROW()-6, 6)), '💳 Debt Input'!$D$4:$D$9)), 0))), 2))</f>
        <v>134.71</v>
      </c>
      <c r="F376" s="61">
        <f t="shared" ca="1" si="11"/>
        <v>0</v>
      </c>
      <c r="G376" s="19" t="str">
        <f t="shared" ca="1" si="10"/>
        <v>Paid off</v>
      </c>
      <c r="H376" s="19"/>
    </row>
    <row r="377" spans="1:8" ht="18" customHeight="1" x14ac:dyDescent="0.35">
      <c r="A377" s="51">
        <v>62</v>
      </c>
      <c r="B377" s="56" t="str" cm="1">
        <f t="array" ref="B377:B382">B371:B376</f>
        <v>Store Card</v>
      </c>
      <c r="C377" s="65" cm="1">
        <f t="array" aca="1" ref="C377:C382" ca="1">F371:F376</f>
        <v>0</v>
      </c>
      <c r="D377" s="65">
        <f ca="1">IF(B377="","", ROUND(C377 * (VLOOKUP(B377, '💳 Debt Input'!$A$4:$G$9, 3, FALSE) / 12), 2))</f>
        <v>0</v>
      </c>
      <c r="E377" s="65" cm="1">
        <f t="array" aca="1" ref="E377" ca="1">IF(B377="","", ROUND(MIN(C377+D377, MAX(VLOOKUP(B377,'💳 Debt Input'!$A$4:$G$9,4,FALSE), $F$3 - IFERROR(SUM(OFFSET(E377, -MOD(ROW()-6, 6), 0, MOD(ROW()-6, 6))), 0) - IFERROR(SUM(SUMIF('💳 Debt Input'!$A$4:$A$9, OFFSET(B377, 1, 0, 5-MOD(ROW()-6, 6)), '💳 Debt Input'!$D$4:$D$9)), 0))), 2))</f>
        <v>0</v>
      </c>
      <c r="F377" s="65">
        <f t="shared" ca="1" si="11"/>
        <v>0</v>
      </c>
      <c r="G377" s="25" t="str">
        <f t="shared" ca="1" si="10"/>
        <v>Paid off</v>
      </c>
      <c r="H377" s="25"/>
    </row>
    <row r="378" spans="1:8" ht="18" customHeight="1" x14ac:dyDescent="0.35">
      <c r="A378" s="52"/>
      <c r="B378" s="26" t="str">
        <v>Medical Bill</v>
      </c>
      <c r="C378" s="66">
        <f ca="1"/>
        <v>0</v>
      </c>
      <c r="D378" s="66">
        <f ca="1">IF(B378="","", ROUND(C378 * (VLOOKUP(B378, '💳 Debt Input'!$A$4:$G$9, 3, FALSE) / 12), 2))</f>
        <v>0</v>
      </c>
      <c r="E378" s="66" cm="1">
        <f t="array" aca="1" ref="E378" ca="1">IF(B378="","", ROUND(MIN(C378+D378, MAX(VLOOKUP(B378,'💳 Debt Input'!$A$4:$G$9,4,FALSE), $F$3 - IFERROR(SUM(OFFSET(E378, -MOD(ROW()-6, 6), 0, MOD(ROW()-6, 6))), 0) - IFERROR(SUM(SUMIF('💳 Debt Input'!$A$4:$A$9, OFFSET(B378, 1, 0, 5-MOD(ROW()-6, 6)), '💳 Debt Input'!$D$4:$D$9)), 0))), 2))</f>
        <v>0</v>
      </c>
      <c r="F378" s="66">
        <f t="shared" ca="1" si="11"/>
        <v>0</v>
      </c>
      <c r="G378" s="28" t="str">
        <f t="shared" ca="1" si="10"/>
        <v>Paid off</v>
      </c>
      <c r="H378" s="28"/>
    </row>
    <row r="379" spans="1:8" ht="18" customHeight="1" x14ac:dyDescent="0.35">
      <c r="A379" s="52"/>
      <c r="B379" s="26" t="str">
        <v>Personal Loan</v>
      </c>
      <c r="C379" s="66">
        <f ca="1"/>
        <v>0</v>
      </c>
      <c r="D379" s="66">
        <f ca="1">IF(B379="","", ROUND(C379 * (VLOOKUP(B379, '💳 Debt Input'!$A$4:$G$9, 3, FALSE) / 12), 2))</f>
        <v>0</v>
      </c>
      <c r="E379" s="66" cm="1">
        <f t="array" aca="1" ref="E379" ca="1">IF(B379="","", ROUND(MIN(C379+D379, MAX(VLOOKUP(B379,'💳 Debt Input'!$A$4:$G$9,4,FALSE), $F$3 - IFERROR(SUM(OFFSET(E379, -MOD(ROW()-6, 6), 0, MOD(ROW()-6, 6))), 0) - IFERROR(SUM(SUMIF('💳 Debt Input'!$A$4:$A$9, OFFSET(B379, 1, 0, 5-MOD(ROW()-6, 6)), '💳 Debt Input'!$D$4:$D$9)), 0))), 2))</f>
        <v>0</v>
      </c>
      <c r="F379" s="66">
        <f t="shared" ca="1" si="11"/>
        <v>0</v>
      </c>
      <c r="G379" s="28" t="str">
        <f t="shared" ca="1" si="10"/>
        <v>Paid off</v>
      </c>
      <c r="H379" s="28"/>
    </row>
    <row r="380" spans="1:8" ht="18" customHeight="1" x14ac:dyDescent="0.35">
      <c r="A380" s="52"/>
      <c r="B380" s="26" t="str">
        <v>Auto Loan</v>
      </c>
      <c r="C380" s="66">
        <f ca="1"/>
        <v>0</v>
      </c>
      <c r="D380" s="66">
        <f ca="1">IF(B380="","", ROUND(C380 * (VLOOKUP(B380, '💳 Debt Input'!$A$4:$G$9, 3, FALSE) / 12), 2))</f>
        <v>0</v>
      </c>
      <c r="E380" s="66" cm="1">
        <f t="array" aca="1" ref="E380" ca="1">IF(B380="","", ROUND(MIN(C380+D380, MAX(VLOOKUP(B380,'💳 Debt Input'!$A$4:$G$9,4,FALSE), $F$3 - IFERROR(SUM(OFFSET(E380, -MOD(ROW()-6, 6), 0, MOD(ROW()-6, 6))), 0) - IFERROR(SUM(SUMIF('💳 Debt Input'!$A$4:$A$9, OFFSET(B380, 1, 0, 5-MOD(ROW()-6, 6)), '💳 Debt Input'!$D$4:$D$9)), 0))), 2))</f>
        <v>0</v>
      </c>
      <c r="F380" s="66">
        <f t="shared" ca="1" si="11"/>
        <v>0</v>
      </c>
      <c r="G380" s="28" t="str">
        <f t="shared" ca="1" si="10"/>
        <v>Paid off</v>
      </c>
      <c r="H380" s="28"/>
    </row>
    <row r="381" spans="1:8" ht="18" customHeight="1" x14ac:dyDescent="0.35">
      <c r="A381" s="52"/>
      <c r="B381" s="26" t="str">
        <v>Travel Card</v>
      </c>
      <c r="C381" s="66">
        <f ca="1"/>
        <v>0</v>
      </c>
      <c r="D381" s="66">
        <f ca="1">IF(B381="","", ROUND(C381 * (VLOOKUP(B381, '💳 Debt Input'!$A$4:$G$9, 3, FALSE) / 12), 2))</f>
        <v>0</v>
      </c>
      <c r="E381" s="66" cm="1">
        <f t="array" aca="1" ref="E381" ca="1">IF(B381="","", ROUND(MIN(C381+D381, MAX(VLOOKUP(B381,'💳 Debt Input'!$A$4:$G$9,4,FALSE), $F$3 - IFERROR(SUM(OFFSET(E381, -MOD(ROW()-6, 6), 0, MOD(ROW()-6, 6))), 0) - IFERROR(SUM(SUMIF('💳 Debt Input'!$A$4:$A$9, OFFSET(B381, 1, 0, 5-MOD(ROW()-6, 6)), '💳 Debt Input'!$D$4:$D$9)), 0))), 2))</f>
        <v>0</v>
      </c>
      <c r="F381" s="66">
        <f t="shared" ca="1" si="11"/>
        <v>0</v>
      </c>
      <c r="G381" s="28" t="str">
        <f t="shared" ca="1" si="10"/>
        <v>Paid off</v>
      </c>
      <c r="H381" s="28"/>
    </row>
    <row r="382" spans="1:8" ht="18" customHeight="1" x14ac:dyDescent="0.35">
      <c r="A382" s="49"/>
      <c r="B382" s="6" t="str">
        <v>Rewards Visa</v>
      </c>
      <c r="C382" s="63">
        <f ca="1"/>
        <v>0</v>
      </c>
      <c r="D382" s="63">
        <f ca="1">IF(B382="","", ROUND(C382 * (VLOOKUP(B382, '💳 Debt Input'!$A$4:$G$9, 3, FALSE) / 12), 2))</f>
        <v>0</v>
      </c>
      <c r="E382" s="63" cm="1">
        <f t="array" aca="1" ref="E382" ca="1">IF(B382="","", ROUND(MIN(C382+D382, MAX(VLOOKUP(B382,'💳 Debt Input'!$A$4:$G$9,4,FALSE), $F$3 - IFERROR(SUM(OFFSET(E382, -MOD(ROW()-6, 6), 0, MOD(ROW()-6, 6))), 0) - IFERROR(SUM(SUMIF('💳 Debt Input'!$A$4:$A$9, OFFSET(B382, 1, 0, 5-MOD(ROW()-6, 6)), '💳 Debt Input'!$D$4:$D$9)), 0))), 2))</f>
        <v>0</v>
      </c>
      <c r="F382" s="63">
        <f t="shared" ca="1" si="11"/>
        <v>0</v>
      </c>
      <c r="G382" s="22" t="str">
        <f t="shared" ca="1" si="10"/>
        <v>Paid off</v>
      </c>
      <c r="H382" s="22"/>
    </row>
    <row r="383" spans="1:8" ht="18" customHeight="1" x14ac:dyDescent="0.35">
      <c r="A383" s="51">
        <v>63</v>
      </c>
      <c r="B383" s="56" t="str" cm="1">
        <f t="array" ref="B383:B388">B377:B382</f>
        <v>Store Card</v>
      </c>
      <c r="C383" s="65" cm="1">
        <f t="array" aca="1" ref="C383:C388" ca="1">F377:F382</f>
        <v>0</v>
      </c>
      <c r="D383" s="65">
        <f ca="1">IF(B383="","", ROUND(C383 * (VLOOKUP(B383, '💳 Debt Input'!$A$4:$G$9, 3, FALSE) / 12), 2))</f>
        <v>0</v>
      </c>
      <c r="E383" s="65" cm="1">
        <f t="array" aca="1" ref="E383" ca="1">IF(B383="","", ROUND(MIN(C383+D383, MAX(VLOOKUP(B383,'💳 Debt Input'!$A$4:$G$9,4,FALSE), $F$3 - IFERROR(SUM(OFFSET(E383, -MOD(ROW()-6, 6), 0, MOD(ROW()-6, 6))), 0) - IFERROR(SUM(SUMIF('💳 Debt Input'!$A$4:$A$9, OFFSET(B383, 1, 0, 5-MOD(ROW()-6, 6)), '💳 Debt Input'!$D$4:$D$9)), 0))), 2))</f>
        <v>0</v>
      </c>
      <c r="F383" s="65">
        <f t="shared" ca="1" si="11"/>
        <v>0</v>
      </c>
      <c r="G383" s="25" t="str">
        <f t="shared" ca="1" si="10"/>
        <v>Paid off</v>
      </c>
      <c r="H383" s="25"/>
    </row>
    <row r="384" spans="1:8" ht="18" customHeight="1" x14ac:dyDescent="0.35">
      <c r="A384" s="52"/>
      <c r="B384" s="26" t="str">
        <v>Medical Bill</v>
      </c>
      <c r="C384" s="66">
        <f ca="1"/>
        <v>0</v>
      </c>
      <c r="D384" s="66">
        <f ca="1">IF(B384="","", ROUND(C384 * (VLOOKUP(B384, '💳 Debt Input'!$A$4:$G$9, 3, FALSE) / 12), 2))</f>
        <v>0</v>
      </c>
      <c r="E384" s="66" cm="1">
        <f t="array" aca="1" ref="E384" ca="1">IF(B384="","", ROUND(MIN(C384+D384, MAX(VLOOKUP(B384,'💳 Debt Input'!$A$4:$G$9,4,FALSE), $F$3 - IFERROR(SUM(OFFSET(E384, -MOD(ROW()-6, 6), 0, MOD(ROW()-6, 6))), 0) - IFERROR(SUM(SUMIF('💳 Debt Input'!$A$4:$A$9, OFFSET(B384, 1, 0, 5-MOD(ROW()-6, 6)), '💳 Debt Input'!$D$4:$D$9)), 0))), 2))</f>
        <v>0</v>
      </c>
      <c r="F384" s="66">
        <f t="shared" ca="1" si="11"/>
        <v>0</v>
      </c>
      <c r="G384" s="28" t="str">
        <f t="shared" ca="1" si="10"/>
        <v>Paid off</v>
      </c>
      <c r="H384" s="28"/>
    </row>
    <row r="385" spans="1:8" ht="18" customHeight="1" x14ac:dyDescent="0.35">
      <c r="A385" s="52"/>
      <c r="B385" s="26" t="str">
        <v>Personal Loan</v>
      </c>
      <c r="C385" s="66">
        <f ca="1"/>
        <v>0</v>
      </c>
      <c r="D385" s="66">
        <f ca="1">IF(B385="","", ROUND(C385 * (VLOOKUP(B385, '💳 Debt Input'!$A$4:$G$9, 3, FALSE) / 12), 2))</f>
        <v>0</v>
      </c>
      <c r="E385" s="66" cm="1">
        <f t="array" aca="1" ref="E385" ca="1">IF(B385="","", ROUND(MIN(C385+D385, MAX(VLOOKUP(B385,'💳 Debt Input'!$A$4:$G$9,4,FALSE), $F$3 - IFERROR(SUM(OFFSET(E385, -MOD(ROW()-6, 6), 0, MOD(ROW()-6, 6))), 0) - IFERROR(SUM(SUMIF('💳 Debt Input'!$A$4:$A$9, OFFSET(B385, 1, 0, 5-MOD(ROW()-6, 6)), '💳 Debt Input'!$D$4:$D$9)), 0))), 2))</f>
        <v>0</v>
      </c>
      <c r="F385" s="66">
        <f t="shared" ca="1" si="11"/>
        <v>0</v>
      </c>
      <c r="G385" s="28" t="str">
        <f t="shared" ca="1" si="10"/>
        <v>Paid off</v>
      </c>
      <c r="H385" s="28"/>
    </row>
    <row r="386" spans="1:8" ht="18" customHeight="1" x14ac:dyDescent="0.35">
      <c r="A386" s="52"/>
      <c r="B386" s="26" t="str">
        <v>Auto Loan</v>
      </c>
      <c r="C386" s="66">
        <f ca="1"/>
        <v>0</v>
      </c>
      <c r="D386" s="66">
        <f ca="1">IF(B386="","", ROUND(C386 * (VLOOKUP(B386, '💳 Debt Input'!$A$4:$G$9, 3, FALSE) / 12), 2))</f>
        <v>0</v>
      </c>
      <c r="E386" s="66" cm="1">
        <f t="array" aca="1" ref="E386" ca="1">IF(B386="","", ROUND(MIN(C386+D386, MAX(VLOOKUP(B386,'💳 Debt Input'!$A$4:$G$9,4,FALSE), $F$3 - IFERROR(SUM(OFFSET(E386, -MOD(ROW()-6, 6), 0, MOD(ROW()-6, 6))), 0) - IFERROR(SUM(SUMIF('💳 Debt Input'!$A$4:$A$9, OFFSET(B386, 1, 0, 5-MOD(ROW()-6, 6)), '💳 Debt Input'!$D$4:$D$9)), 0))), 2))</f>
        <v>0</v>
      </c>
      <c r="F386" s="66">
        <f t="shared" ca="1" si="11"/>
        <v>0</v>
      </c>
      <c r="G386" s="28" t="str">
        <f t="shared" ca="1" si="10"/>
        <v>Paid off</v>
      </c>
      <c r="H386" s="28"/>
    </row>
    <row r="387" spans="1:8" ht="18" customHeight="1" x14ac:dyDescent="0.35">
      <c r="A387" s="52"/>
      <c r="B387" s="26" t="str">
        <v>Travel Card</v>
      </c>
      <c r="C387" s="66">
        <f ca="1"/>
        <v>0</v>
      </c>
      <c r="D387" s="66">
        <f ca="1">IF(B387="","", ROUND(C387 * (VLOOKUP(B387, '💳 Debt Input'!$A$4:$G$9, 3, FALSE) / 12), 2))</f>
        <v>0</v>
      </c>
      <c r="E387" s="66" cm="1">
        <f t="array" aca="1" ref="E387" ca="1">IF(B387="","", ROUND(MIN(C387+D387, MAX(VLOOKUP(B387,'💳 Debt Input'!$A$4:$G$9,4,FALSE), $F$3 - IFERROR(SUM(OFFSET(E387, -MOD(ROW()-6, 6), 0, MOD(ROW()-6, 6))), 0) - IFERROR(SUM(SUMIF('💳 Debt Input'!$A$4:$A$9, OFFSET(B387, 1, 0, 5-MOD(ROW()-6, 6)), '💳 Debt Input'!$D$4:$D$9)), 0))), 2))</f>
        <v>0</v>
      </c>
      <c r="F387" s="66">
        <f t="shared" ca="1" si="11"/>
        <v>0</v>
      </c>
      <c r="G387" s="28" t="str">
        <f t="shared" ca="1" si="10"/>
        <v>Paid off</v>
      </c>
      <c r="H387" s="28"/>
    </row>
    <row r="388" spans="1:8" ht="18" customHeight="1" x14ac:dyDescent="0.35">
      <c r="A388" s="47"/>
      <c r="B388" s="8" t="str">
        <v>Rewards Visa</v>
      </c>
      <c r="C388" s="61">
        <f ca="1"/>
        <v>0</v>
      </c>
      <c r="D388" s="61">
        <f ca="1">IF(B388="","", ROUND(C388 * (VLOOKUP(B388, '💳 Debt Input'!$A$4:$G$9, 3, FALSE) / 12), 2))</f>
        <v>0</v>
      </c>
      <c r="E388" s="61" cm="1">
        <f t="array" aca="1" ref="E388" ca="1">IF(B388="","", ROUND(MIN(C388+D388, MAX(VLOOKUP(B388,'💳 Debt Input'!$A$4:$G$9,4,FALSE), $F$3 - IFERROR(SUM(OFFSET(E388, -MOD(ROW()-6, 6), 0, MOD(ROW()-6, 6))), 0) - IFERROR(SUM(SUMIF('💳 Debt Input'!$A$4:$A$9, OFFSET(B388, 1, 0, 5-MOD(ROW()-6, 6)), '💳 Debt Input'!$D$4:$D$9)), 0))), 2))</f>
        <v>0</v>
      </c>
      <c r="F388" s="61">
        <f t="shared" ca="1" si="11"/>
        <v>0</v>
      </c>
      <c r="G388" s="19" t="str">
        <f t="shared" ca="1" si="10"/>
        <v>Paid off</v>
      </c>
      <c r="H388" s="19"/>
    </row>
    <row r="389" spans="1:8" ht="18" customHeight="1" x14ac:dyDescent="0.35">
      <c r="A389" s="51">
        <v>64</v>
      </c>
      <c r="B389" s="56" t="str" cm="1">
        <f t="array" ref="B389:B394">B383:B388</f>
        <v>Store Card</v>
      </c>
      <c r="C389" s="65" cm="1">
        <f t="array" aca="1" ref="C389:C394" ca="1">F383:F388</f>
        <v>0</v>
      </c>
      <c r="D389" s="65">
        <f ca="1">IF(B389="","", ROUND(C389 * (VLOOKUP(B389, '💳 Debt Input'!$A$4:$G$9, 3, FALSE) / 12), 2))</f>
        <v>0</v>
      </c>
      <c r="E389" s="65" cm="1">
        <f t="array" aca="1" ref="E389" ca="1">IF(B389="","", ROUND(MIN(C389+D389, MAX(VLOOKUP(B389,'💳 Debt Input'!$A$4:$G$9,4,FALSE), $F$3 - IFERROR(SUM(OFFSET(E389, -MOD(ROW()-6, 6), 0, MOD(ROW()-6, 6))), 0) - IFERROR(SUM(SUMIF('💳 Debt Input'!$A$4:$A$9, OFFSET(B389, 1, 0, 5-MOD(ROW()-6, 6)), '💳 Debt Input'!$D$4:$D$9)), 0))), 2))</f>
        <v>0</v>
      </c>
      <c r="F389" s="65">
        <f t="shared" ca="1" si="11"/>
        <v>0</v>
      </c>
      <c r="G389" s="25" t="str">
        <f t="shared" ca="1" si="10"/>
        <v>Paid off</v>
      </c>
      <c r="H389" s="25"/>
    </row>
    <row r="390" spans="1:8" ht="18" customHeight="1" x14ac:dyDescent="0.35">
      <c r="A390" s="52"/>
      <c r="B390" s="26" t="str">
        <v>Medical Bill</v>
      </c>
      <c r="C390" s="66">
        <f ca="1"/>
        <v>0</v>
      </c>
      <c r="D390" s="66">
        <f ca="1">IF(B390="","", ROUND(C390 * (VLOOKUP(B390, '💳 Debt Input'!$A$4:$G$9, 3, FALSE) / 12), 2))</f>
        <v>0</v>
      </c>
      <c r="E390" s="66" cm="1">
        <f t="array" aca="1" ref="E390" ca="1">IF(B390="","", ROUND(MIN(C390+D390, MAX(VLOOKUP(B390,'💳 Debt Input'!$A$4:$G$9,4,FALSE), $F$3 - IFERROR(SUM(OFFSET(E390, -MOD(ROW()-6, 6), 0, MOD(ROW()-6, 6))), 0) - IFERROR(SUM(SUMIF('💳 Debt Input'!$A$4:$A$9, OFFSET(B390, 1, 0, 5-MOD(ROW()-6, 6)), '💳 Debt Input'!$D$4:$D$9)), 0))), 2))</f>
        <v>0</v>
      </c>
      <c r="F390" s="66">
        <f t="shared" ca="1" si="11"/>
        <v>0</v>
      </c>
      <c r="G390" s="28" t="str">
        <f t="shared" ca="1" si="10"/>
        <v>Paid off</v>
      </c>
      <c r="H390" s="28"/>
    </row>
    <row r="391" spans="1:8" ht="18" customHeight="1" x14ac:dyDescent="0.35">
      <c r="A391" s="52"/>
      <c r="B391" s="26" t="str">
        <v>Personal Loan</v>
      </c>
      <c r="C391" s="66">
        <f ca="1"/>
        <v>0</v>
      </c>
      <c r="D391" s="66">
        <f ca="1">IF(B391="","", ROUND(C391 * (VLOOKUP(B391, '💳 Debt Input'!$A$4:$G$9, 3, FALSE) / 12), 2))</f>
        <v>0</v>
      </c>
      <c r="E391" s="66" cm="1">
        <f t="array" aca="1" ref="E391" ca="1">IF(B391="","", ROUND(MIN(C391+D391, MAX(VLOOKUP(B391,'💳 Debt Input'!$A$4:$G$9,4,FALSE), $F$3 - IFERROR(SUM(OFFSET(E391, -MOD(ROW()-6, 6), 0, MOD(ROW()-6, 6))), 0) - IFERROR(SUM(SUMIF('💳 Debt Input'!$A$4:$A$9, OFFSET(B391, 1, 0, 5-MOD(ROW()-6, 6)), '💳 Debt Input'!$D$4:$D$9)), 0))), 2))</f>
        <v>0</v>
      </c>
      <c r="F391" s="66">
        <f t="shared" ca="1" si="11"/>
        <v>0</v>
      </c>
      <c r="G391" s="28" t="str">
        <f t="shared" ca="1" si="10"/>
        <v>Paid off</v>
      </c>
      <c r="H391" s="28"/>
    </row>
    <row r="392" spans="1:8" ht="18" customHeight="1" x14ac:dyDescent="0.35">
      <c r="A392" s="52"/>
      <c r="B392" s="26" t="str">
        <v>Auto Loan</v>
      </c>
      <c r="C392" s="66">
        <f ca="1"/>
        <v>0</v>
      </c>
      <c r="D392" s="66">
        <f ca="1">IF(B392="","", ROUND(C392 * (VLOOKUP(B392, '💳 Debt Input'!$A$4:$G$9, 3, FALSE) / 12), 2))</f>
        <v>0</v>
      </c>
      <c r="E392" s="66" cm="1">
        <f t="array" aca="1" ref="E392" ca="1">IF(B392="","", ROUND(MIN(C392+D392, MAX(VLOOKUP(B392,'💳 Debt Input'!$A$4:$G$9,4,FALSE), $F$3 - IFERROR(SUM(OFFSET(E392, -MOD(ROW()-6, 6), 0, MOD(ROW()-6, 6))), 0) - IFERROR(SUM(SUMIF('💳 Debt Input'!$A$4:$A$9, OFFSET(B392, 1, 0, 5-MOD(ROW()-6, 6)), '💳 Debt Input'!$D$4:$D$9)), 0))), 2))</f>
        <v>0</v>
      </c>
      <c r="F392" s="66">
        <f t="shared" ca="1" si="11"/>
        <v>0</v>
      </c>
      <c r="G392" s="28" t="str">
        <f t="shared" ca="1" si="10"/>
        <v>Paid off</v>
      </c>
      <c r="H392" s="28"/>
    </row>
    <row r="393" spans="1:8" ht="18" customHeight="1" x14ac:dyDescent="0.35">
      <c r="A393" s="52"/>
      <c r="B393" s="26" t="str">
        <v>Travel Card</v>
      </c>
      <c r="C393" s="66">
        <f ca="1"/>
        <v>0</v>
      </c>
      <c r="D393" s="66">
        <f ca="1">IF(B393="","", ROUND(C393 * (VLOOKUP(B393, '💳 Debt Input'!$A$4:$G$9, 3, FALSE) / 12), 2))</f>
        <v>0</v>
      </c>
      <c r="E393" s="66" cm="1">
        <f t="array" aca="1" ref="E393" ca="1">IF(B393="","", ROUND(MIN(C393+D393, MAX(VLOOKUP(B393,'💳 Debt Input'!$A$4:$G$9,4,FALSE), $F$3 - IFERROR(SUM(OFFSET(E393, -MOD(ROW()-6, 6), 0, MOD(ROW()-6, 6))), 0) - IFERROR(SUM(SUMIF('💳 Debt Input'!$A$4:$A$9, OFFSET(B393, 1, 0, 5-MOD(ROW()-6, 6)), '💳 Debt Input'!$D$4:$D$9)), 0))), 2))</f>
        <v>0</v>
      </c>
      <c r="F393" s="66">
        <f t="shared" ca="1" si="11"/>
        <v>0</v>
      </c>
      <c r="G393" s="28" t="str">
        <f t="shared" ca="1" si="10"/>
        <v>Paid off</v>
      </c>
      <c r="H393" s="28"/>
    </row>
    <row r="394" spans="1:8" ht="18" customHeight="1" x14ac:dyDescent="0.35">
      <c r="A394" s="52"/>
      <c r="B394" s="26" t="str">
        <v>Rewards Visa</v>
      </c>
      <c r="C394" s="66">
        <f ca="1"/>
        <v>0</v>
      </c>
      <c r="D394" s="66">
        <f ca="1">IF(B394="","", ROUND(C394 * (VLOOKUP(B394, '💳 Debt Input'!$A$4:$G$9, 3, FALSE) / 12), 2))</f>
        <v>0</v>
      </c>
      <c r="E394" s="66" cm="1">
        <f t="array" aca="1" ref="E394" ca="1">IF(B394="","", ROUND(MIN(C394+D394, MAX(VLOOKUP(B394,'💳 Debt Input'!$A$4:$G$9,4,FALSE), $F$3 - IFERROR(SUM(OFFSET(E394, -MOD(ROW()-6, 6), 0, MOD(ROW()-6, 6))), 0) - IFERROR(SUM(SUMIF('💳 Debt Input'!$A$4:$A$9, OFFSET(B394, 1, 0, 5-MOD(ROW()-6, 6)), '💳 Debt Input'!$D$4:$D$9)), 0))), 2))</f>
        <v>0</v>
      </c>
      <c r="F394" s="66">
        <f t="shared" ca="1" si="11"/>
        <v>0</v>
      </c>
      <c r="G394" s="28" t="str">
        <f t="shared" ca="1" si="10"/>
        <v>Paid off</v>
      </c>
      <c r="H394" s="28"/>
    </row>
    <row r="395" spans="1:8" ht="10" customHeight="1" x14ac:dyDescent="0.35"/>
  </sheetData>
  <mergeCells count="5">
    <mergeCell ref="A1:H1"/>
    <mergeCell ref="A2:H2"/>
    <mergeCell ref="A4:B4"/>
    <mergeCell ref="C4:E4"/>
    <mergeCell ref="A9:H9"/>
  </mergeCells>
  <conditionalFormatting sqref="A11:H394">
    <cfRule type="expression" dxfId="4" priority="1">
      <formula>$G11="Paid off"</formula>
    </cfRule>
    <cfRule type="expression" dxfId="3" priority="2">
      <formula>$G11="Paid off"</formula>
    </cfRule>
  </conditionalFormatting>
  <pageMargins left="0.75" right="0.75" top="1" bottom="1" header="0.5" footer="0.5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BDA90-0430-48C8-A1D3-01DA9642DB6D}">
  <sheetPr>
    <tabColor rgb="FFE63946"/>
    <pageSetUpPr fitToPage="1"/>
  </sheetPr>
  <dimension ref="A1:Q405"/>
  <sheetViews>
    <sheetView workbookViewId="0">
      <pane ySplit="10" topLeftCell="A11" activePane="bottomLeft" state="frozen"/>
      <selection pane="bottomLeft" activeCell="E11" sqref="E11"/>
    </sheetView>
  </sheetViews>
  <sheetFormatPr defaultRowHeight="14.5" x14ac:dyDescent="0.35"/>
  <cols>
    <col min="1" max="1" width="24" bestFit="1" customWidth="1"/>
    <col min="2" max="2" width="22" customWidth="1"/>
    <col min="3" max="3" width="24" bestFit="1" customWidth="1"/>
    <col min="4" max="4" width="20" customWidth="1"/>
    <col min="5" max="7" width="18" customWidth="1"/>
    <col min="8" max="8" width="26" customWidth="1"/>
    <col min="9" max="9" width="8.7265625" customWidth="1"/>
    <col min="10" max="10" width="8.26953125" hidden="1" customWidth="1"/>
    <col min="11" max="11" width="6.26953125" hidden="1" customWidth="1"/>
    <col min="12" max="12" width="9.54296875" hidden="1" customWidth="1"/>
    <col min="13" max="13" width="11" hidden="1" customWidth="1"/>
    <col min="14" max="17" width="0" hidden="1" customWidth="1"/>
  </cols>
  <sheetData>
    <row r="1" spans="1:17" ht="30" customHeight="1" x14ac:dyDescent="0.35">
      <c r="A1" s="92" t="s">
        <v>67</v>
      </c>
      <c r="B1" s="90"/>
      <c r="C1" s="90"/>
      <c r="D1" s="90"/>
      <c r="E1" s="90"/>
      <c r="F1" s="90"/>
      <c r="G1" s="90"/>
      <c r="H1" s="90"/>
    </row>
    <row r="2" spans="1:17" ht="18" customHeight="1" x14ac:dyDescent="0.35">
      <c r="A2" s="91" t="s">
        <v>68</v>
      </c>
      <c r="B2" s="90"/>
      <c r="C2" s="90"/>
      <c r="D2" s="90"/>
      <c r="E2" s="90"/>
      <c r="F2" s="90"/>
      <c r="G2" s="90"/>
      <c r="H2" s="90"/>
      <c r="J2" s="67" t="s">
        <v>47</v>
      </c>
      <c r="K2" s="67"/>
      <c r="L2" s="67"/>
      <c r="M2" s="67"/>
      <c r="N2" s="67"/>
      <c r="O2" s="67"/>
      <c r="P2" s="67"/>
      <c r="Q2" s="67"/>
    </row>
    <row r="3" spans="1:17" ht="22" customHeight="1" x14ac:dyDescent="0.35">
      <c r="A3" s="17" t="s">
        <v>48</v>
      </c>
      <c r="B3" s="18">
        <f>'💳 Debt Input'!$E$10</f>
        <v>960</v>
      </c>
      <c r="C3" s="17" t="s">
        <v>79</v>
      </c>
      <c r="D3" s="43">
        <f>'💳 Debt Input'!B11</f>
        <v>50</v>
      </c>
      <c r="E3" s="17" t="s">
        <v>80</v>
      </c>
      <c r="F3" s="18">
        <f>B3+D3</f>
        <v>1010</v>
      </c>
      <c r="J3" s="67" t="s">
        <v>49</v>
      </c>
      <c r="K3" s="67" t="s">
        <v>50</v>
      </c>
      <c r="L3" s="67" t="s">
        <v>51</v>
      </c>
      <c r="M3" s="67" t="s">
        <v>52</v>
      </c>
      <c r="N3" s="67"/>
      <c r="O3" s="67"/>
      <c r="P3" s="67"/>
      <c r="Q3" s="67"/>
    </row>
    <row r="4" spans="1:17" ht="24" customHeight="1" x14ac:dyDescent="0.35">
      <c r="A4" s="93" t="s">
        <v>69</v>
      </c>
      <c r="B4" s="93"/>
      <c r="C4" s="112"/>
      <c r="D4" s="112"/>
      <c r="E4" s="112"/>
      <c r="J4" s="67"/>
      <c r="K4" s="67"/>
      <c r="L4" s="67"/>
      <c r="M4" s="67"/>
      <c r="N4" s="67"/>
      <c r="O4" s="67" t="str">
        <f>IF(A4&lt;&gt;"", A4, O394)</f>
        <v>🌊 AVALANCHE SUMMARY</v>
      </c>
      <c r="P4" s="67">
        <f>IF(B4="", 0, IFERROR(MIN(#REF!+D4, VLOOKUP(B4, '💳 Debt Input'!$A:$G, 4, FALSE)), 0))</f>
        <v>0</v>
      </c>
      <c r="Q4" s="67"/>
    </row>
    <row r="5" spans="1:17" ht="22" customHeight="1" x14ac:dyDescent="0.35">
      <c r="A5" s="17" t="s">
        <v>54</v>
      </c>
      <c r="B5" s="30" cm="1">
        <f t="array" ref="B5">IFERROR(ROUNDUP((MAX(_xlfn._xlws.FILTER(ROW('Avalanche WhatIf Calc'!E11:E1200), 'Avalanche WhatIf Calc'!E11:E1200&gt;0)) - 5) / 6, 0), 0)</f>
        <v>55</v>
      </c>
      <c r="C5" s="69"/>
      <c r="D5" s="71"/>
      <c r="E5" s="72"/>
      <c r="J5" s="67"/>
      <c r="K5" s="67"/>
      <c r="L5" s="67"/>
      <c r="M5" s="67"/>
      <c r="N5" s="67"/>
      <c r="O5" s="67" t="str">
        <f>IF(A5&lt;&gt;"", A5, O4)</f>
        <v>Months to Debt-Free:</v>
      </c>
      <c r="P5" s="67">
        <f>IF(B5="", 0, IFERROR(MIN(#REF!+#REF!, VLOOKUP(B5, '💳 Debt Input'!$A:$G, 4, FALSE)), 0))</f>
        <v>0</v>
      </c>
      <c r="Q5" s="67"/>
    </row>
    <row r="6" spans="1:17" ht="22" customHeight="1" x14ac:dyDescent="0.35">
      <c r="A6" s="17" t="s">
        <v>56</v>
      </c>
      <c r="B6" s="31">
        <f>SUM(D11:D1200)</f>
        <v>24006.55000000001</v>
      </c>
      <c r="C6" s="69"/>
      <c r="D6" s="73"/>
      <c r="E6" s="72"/>
      <c r="J6" s="67"/>
      <c r="K6" s="67"/>
      <c r="L6" s="67"/>
      <c r="M6" s="67"/>
      <c r="N6" s="67"/>
      <c r="O6" s="67" t="str">
        <f>IF(A6&lt;&gt;"", A6, O5)</f>
        <v>Total Interest Paid:</v>
      </c>
      <c r="P6" s="67">
        <f>IF(B6="", 0, IFERROR(MIN(#REF!+#REF!, VLOOKUP(B6, '💳 Debt Input'!$A:$G, 4, FALSE)), 0))</f>
        <v>0</v>
      </c>
      <c r="Q6" s="67"/>
    </row>
    <row r="7" spans="1:17" ht="22" customHeight="1" x14ac:dyDescent="0.35">
      <c r="A7" s="17" t="s">
        <v>58</v>
      </c>
      <c r="B7" s="31">
        <f>SUM(E11:E1201)</f>
        <v>55206.55</v>
      </c>
      <c r="C7" s="69"/>
      <c r="D7" s="73"/>
      <c r="E7" s="72"/>
      <c r="J7" s="67"/>
      <c r="K7" s="67"/>
      <c r="L7" s="67"/>
      <c r="M7" s="67"/>
      <c r="N7" s="67"/>
      <c r="O7" s="67" t="str">
        <f>IF(A7&lt;&gt;"", A7, O6)</f>
        <v>Total Amount Paid:</v>
      </c>
      <c r="P7" s="67">
        <f>IF(B7="", 0, IFERROR(MIN(#REF!+#REF!, VLOOKUP(B7, '💳 Debt Input'!$A:$G, 4, FALSE)), 0))</f>
        <v>0</v>
      </c>
      <c r="Q7" s="67"/>
    </row>
    <row r="8" spans="1:17" ht="21.65" customHeight="1" x14ac:dyDescent="0.35">
      <c r="A8" s="69"/>
      <c r="B8" s="70"/>
      <c r="C8" s="69"/>
      <c r="D8" s="70"/>
      <c r="E8" s="72"/>
      <c r="J8" s="67"/>
      <c r="K8" s="67"/>
      <c r="L8" s="67"/>
      <c r="M8" s="67"/>
      <c r="N8" s="67"/>
      <c r="O8" s="67" t="str">
        <f>IF(A8&lt;&gt;"", A8, O7)</f>
        <v>Total Amount Paid:</v>
      </c>
      <c r="P8" s="67">
        <f>IF(B8="", 0, IFERROR(MIN(#REF!+#REF!, VLOOKUP(B8, '💳 Debt Input'!$A:$G, 4, FALSE)), 0))</f>
        <v>0</v>
      </c>
      <c r="Q8" s="67"/>
    </row>
    <row r="9" spans="1:17" ht="20.149999999999999" customHeight="1" x14ac:dyDescent="0.35">
      <c r="A9" s="89" t="s">
        <v>61</v>
      </c>
      <c r="B9" s="90"/>
      <c r="C9" s="90"/>
      <c r="D9" s="90"/>
      <c r="E9" s="90"/>
      <c r="F9" s="90"/>
      <c r="G9" s="90"/>
      <c r="H9" s="90"/>
      <c r="J9" s="67">
        <v>1</v>
      </c>
      <c r="K9" s="67">
        <f>SUM(F11:F16)</f>
        <v>30848</v>
      </c>
      <c r="L9" s="67">
        <f>SUM(D11:D16)</f>
        <v>658</v>
      </c>
      <c r="M9" s="67">
        <f>F16</f>
        <v>175.5</v>
      </c>
      <c r="N9" s="67"/>
      <c r="O9" s="67"/>
      <c r="P9" s="67"/>
      <c r="Q9" s="67"/>
    </row>
    <row r="10" spans="1:17" ht="20.149999999999999" customHeight="1" x14ac:dyDescent="0.35">
      <c r="A10" s="4" t="s">
        <v>49</v>
      </c>
      <c r="B10" s="4" t="s">
        <v>28</v>
      </c>
      <c r="C10" s="4" t="s">
        <v>62</v>
      </c>
      <c r="D10" s="4" t="s">
        <v>51</v>
      </c>
      <c r="E10" s="4" t="s">
        <v>63</v>
      </c>
      <c r="F10" s="4" t="s">
        <v>64</v>
      </c>
      <c r="G10" s="4" t="s">
        <v>65</v>
      </c>
      <c r="H10" s="4" t="s">
        <v>66</v>
      </c>
      <c r="J10" s="67">
        <v>2</v>
      </c>
      <c r="K10" s="67">
        <f>SUM(F17:F22)</f>
        <v>30491.459999999995</v>
      </c>
      <c r="L10" s="67">
        <f>SUM(D17:D22)</f>
        <v>653.46000000000015</v>
      </c>
      <c r="M10" s="67">
        <f>F22</f>
        <v>150.94</v>
      </c>
      <c r="N10" s="67"/>
      <c r="O10" s="67" t="s">
        <v>49</v>
      </c>
      <c r="P10" s="67"/>
      <c r="Q10" s="67"/>
    </row>
    <row r="11" spans="1:17" ht="18" customHeight="1" x14ac:dyDescent="0.35">
      <c r="A11" s="11">
        <v>1</v>
      </c>
      <c r="B11" s="8" t="str">
        <f>'💳 Debt Input'!$A$9</f>
        <v>Rewards Visa</v>
      </c>
      <c r="C11" s="10">
        <f>'💳 Debt Input'!$B$9</f>
        <v>16000</v>
      </c>
      <c r="D11" s="10">
        <f>ROUND(C11*'💳 Debt Input'!$C$9/12,2)</f>
        <v>480</v>
      </c>
      <c r="E11" s="10">
        <f>IF(B11="", "", MIN(C11+D11, MAX(P11, $F$3 - SUMIFS(E$10:E10, O$10:O10, O11) - SUMIFS(P12:P$1995, O12:O$1995, O11))))</f>
        <v>530</v>
      </c>
      <c r="F11" s="10">
        <f t="shared" ref="F11:F74" si="0">ROUND(MAX(0,C11+D11-E11),2)</f>
        <v>15950</v>
      </c>
      <c r="G11" s="19" t="str">
        <f t="shared" ref="G11:G74" si="1">IF(F11=0,"Paid off","Active")</f>
        <v>Active</v>
      </c>
      <c r="H11" s="20"/>
      <c r="J11" s="67">
        <v>3</v>
      </c>
      <c r="K11" s="67">
        <f>SUM(F23:F28)</f>
        <v>30130.28</v>
      </c>
      <c r="L11" s="67">
        <f>SUM(D23:D28)</f>
        <v>648.81999999999994</v>
      </c>
      <c r="M11" s="67">
        <f>F28</f>
        <v>126.32</v>
      </c>
      <c r="N11" s="67"/>
      <c r="O11" s="67">
        <f t="shared" ref="O11:O74" si="2">IF(A11&lt;&gt;"", A11, O10)</f>
        <v>1</v>
      </c>
      <c r="P11" s="67">
        <f>IF(B11="", 0, IFERROR(MIN(C11+D11, VLOOKUP(B11, '💳 Debt Input'!$A:$G, 4, FALSE)), 0))</f>
        <v>480</v>
      </c>
      <c r="Q11" s="67"/>
    </row>
    <row r="12" spans="1:17" ht="18" customHeight="1" x14ac:dyDescent="0.35">
      <c r="A12" s="19"/>
      <c r="B12" s="8" t="str">
        <f>'💳 Debt Input'!$A$8</f>
        <v>Travel Card</v>
      </c>
      <c r="C12" s="10">
        <f>'💳 Debt Input'!$B$8</f>
        <v>9000</v>
      </c>
      <c r="D12" s="10">
        <f>ROUND(C12*'💳 Debt Input'!$C$8/12,2)</f>
        <v>135</v>
      </c>
      <c r="E12" s="10">
        <f>IF(B12="", "", MIN(C12+D12, MAX(P12, $F$3 - SUMIFS(E$10:E11, O$10:O11, O12) - SUMIFS(P13:P$1995, O13:O$1995, O12))))</f>
        <v>270</v>
      </c>
      <c r="F12" s="10">
        <f t="shared" si="0"/>
        <v>8865</v>
      </c>
      <c r="G12" s="19" t="str">
        <f t="shared" si="1"/>
        <v>Active</v>
      </c>
      <c r="H12" s="20"/>
      <c r="J12" s="67">
        <v>4</v>
      </c>
      <c r="K12" s="67">
        <f>SUM(F29:F34)</f>
        <v>29764.38</v>
      </c>
      <c r="L12" s="67">
        <f>SUM(D29:D34)</f>
        <v>644.1</v>
      </c>
      <c r="M12" s="67">
        <f>F34</f>
        <v>101.64</v>
      </c>
      <c r="N12" s="67"/>
      <c r="O12" s="67">
        <f t="shared" si="2"/>
        <v>1</v>
      </c>
      <c r="P12" s="67">
        <f>IF(B12="", 0, IFERROR(MIN(C12+D12, VLOOKUP(B12, '💳 Debt Input'!$A:$G, 4, FALSE)), 0))</f>
        <v>270</v>
      </c>
      <c r="Q12" s="67"/>
    </row>
    <row r="13" spans="1:17" ht="18" customHeight="1" x14ac:dyDescent="0.35">
      <c r="A13" s="19"/>
      <c r="B13" s="8" t="str">
        <f>'💳 Debt Input'!$A$7</f>
        <v>Auto Loan</v>
      </c>
      <c r="C13" s="10">
        <f>'💳 Debt Input'!$B$7</f>
        <v>4000</v>
      </c>
      <c r="D13" s="10">
        <f>ROUND(C13*'💳 Debt Input'!$C$7/12,2)</f>
        <v>33.33</v>
      </c>
      <c r="E13" s="10">
        <f>IF(B13="", "", MIN(C13+D13, MAX(P13, $F$3 - SUMIFS(E$10:E12, O$10:O12, O13) - SUMIFS(P14:P$1995, O14:O$1995, O13))))</f>
        <v>120</v>
      </c>
      <c r="F13" s="10">
        <f t="shared" si="0"/>
        <v>3913.33</v>
      </c>
      <c r="G13" s="19" t="str">
        <f t="shared" si="1"/>
        <v>Active</v>
      </c>
      <c r="H13" s="20"/>
      <c r="J13" s="67">
        <v>5</v>
      </c>
      <c r="K13" s="67">
        <f>SUM(F35:F40)</f>
        <v>29393.68</v>
      </c>
      <c r="L13" s="67">
        <f>SUM(D35:D40)</f>
        <v>639.30000000000007</v>
      </c>
      <c r="M13" s="67">
        <f>F40</f>
        <v>76.89</v>
      </c>
      <c r="N13" s="67"/>
      <c r="O13" s="67">
        <f t="shared" si="2"/>
        <v>1</v>
      </c>
      <c r="P13" s="67">
        <f>IF(B13="", 0, IFERROR(MIN(C13+D13, VLOOKUP(B13, '💳 Debt Input'!$A:$G, 4, FALSE)), 0))</f>
        <v>120</v>
      </c>
      <c r="Q13" s="67"/>
    </row>
    <row r="14" spans="1:17" ht="18" customHeight="1" x14ac:dyDescent="0.35">
      <c r="A14" s="19"/>
      <c r="B14" s="8" t="str">
        <f>'💳 Debt Input'!$A$6</f>
        <v>Personal Loan</v>
      </c>
      <c r="C14" s="10">
        <f>'💳 Debt Input'!$B$6</f>
        <v>1500</v>
      </c>
      <c r="D14" s="10">
        <f>ROUND(C14*'💳 Debt Input'!$C$6/12,2)</f>
        <v>7.5</v>
      </c>
      <c r="E14" s="10">
        <f>IF(B14="", "", MIN(C14+D14, MAX(P14, $F$3 - SUMIFS(E$10:E13, O$10:O13, O14) - SUMIFS(P15:P$1995, O15:O$1995, O14))))</f>
        <v>40</v>
      </c>
      <c r="F14" s="10">
        <f t="shared" si="0"/>
        <v>1467.5</v>
      </c>
      <c r="G14" s="19" t="str">
        <f t="shared" si="1"/>
        <v>Active</v>
      </c>
      <c r="H14" s="20"/>
      <c r="J14" s="67">
        <v>6</v>
      </c>
      <c r="K14" s="67">
        <f>SUM(F41:F46)</f>
        <v>29018.100000000002</v>
      </c>
      <c r="L14" s="67">
        <f>SUM(D41:D46)</f>
        <v>634.41999999999996</v>
      </c>
      <c r="M14" s="67">
        <f>F46</f>
        <v>52.08</v>
      </c>
      <c r="N14" s="67"/>
      <c r="O14" s="67">
        <f t="shared" si="2"/>
        <v>1</v>
      </c>
      <c r="P14" s="67">
        <f>IF(B14="", 0, IFERROR(MIN(C14+D14, VLOOKUP(B14, '💳 Debt Input'!$A:$G, 4, FALSE)), 0))</f>
        <v>40</v>
      </c>
      <c r="Q14" s="67"/>
    </row>
    <row r="15" spans="1:17" ht="18" customHeight="1" x14ac:dyDescent="0.35">
      <c r="A15" s="19"/>
      <c r="B15" s="8" t="str">
        <f>'💳 Debt Input'!$A$5</f>
        <v>Medical Bill</v>
      </c>
      <c r="C15" s="10">
        <f>'💳 Debt Input'!$B$5</f>
        <v>500</v>
      </c>
      <c r="D15" s="10">
        <f>ROUND(C15*'💳 Debt Input'!$C$5/12,2)</f>
        <v>1.67</v>
      </c>
      <c r="E15" s="10">
        <f>IF(B15="", "", MIN(C15+D15, MAX(P15, $F$3 - SUMIFS(E$10:E14, O$10:O14, O15) - SUMIFS(P16:P$1995, O16:O$1995, O15))))</f>
        <v>25</v>
      </c>
      <c r="F15" s="10">
        <f t="shared" si="0"/>
        <v>476.67</v>
      </c>
      <c r="G15" s="19" t="str">
        <f t="shared" si="1"/>
        <v>Active</v>
      </c>
      <c r="H15" s="20"/>
      <c r="J15" s="67">
        <v>7</v>
      </c>
      <c r="K15" s="67">
        <f>SUM(F47:F52)</f>
        <v>28637.54</v>
      </c>
      <c r="L15" s="67">
        <f>SUM(D47:D52)</f>
        <v>629.44000000000005</v>
      </c>
      <c r="M15" s="67">
        <f>F52</f>
        <v>27.21</v>
      </c>
      <c r="N15" s="67"/>
      <c r="O15" s="67">
        <f t="shared" si="2"/>
        <v>1</v>
      </c>
      <c r="P15" s="67">
        <f>IF(B15="", 0, IFERROR(MIN(C15+D15, VLOOKUP(B15, '💳 Debt Input'!$A:$G, 4, FALSE)), 0))</f>
        <v>25</v>
      </c>
      <c r="Q15" s="67"/>
    </row>
    <row r="16" spans="1:17" ht="18" customHeight="1" x14ac:dyDescent="0.35">
      <c r="A16" s="19"/>
      <c r="B16" s="8" t="str">
        <f>'💳 Debt Input'!$A$4</f>
        <v>Store Card</v>
      </c>
      <c r="C16" s="10">
        <f>'💳 Debt Input'!$B$4</f>
        <v>200</v>
      </c>
      <c r="D16" s="10">
        <f>ROUND(C16*'💳 Debt Input'!$C$4/12,2)</f>
        <v>0.5</v>
      </c>
      <c r="E16" s="10">
        <f>IF(B16="", "", MIN(C16+D16, MAX(P16, $F$3 - SUMIFS(E$10:E15, O$10:O15, O16) - SUMIFS(P17:P$1995, O17:O$1995, O16))))</f>
        <v>25</v>
      </c>
      <c r="F16" s="10">
        <f t="shared" si="0"/>
        <v>175.5</v>
      </c>
      <c r="G16" s="19" t="str">
        <f t="shared" si="1"/>
        <v>Active</v>
      </c>
      <c r="H16" s="20"/>
      <c r="J16" s="67">
        <v>8</v>
      </c>
      <c r="K16" s="67">
        <f>SUM(F53:F58)</f>
        <v>28251.91</v>
      </c>
      <c r="L16" s="67">
        <f>SUM(D53:D58)</f>
        <v>624.37</v>
      </c>
      <c r="M16" s="67">
        <f>F58</f>
        <v>2.2799999999999998</v>
      </c>
      <c r="N16" s="67"/>
      <c r="O16" s="67">
        <f t="shared" si="2"/>
        <v>1</v>
      </c>
      <c r="P16" s="67">
        <f>IF(B16="", 0, IFERROR(MIN(C16+D16, VLOOKUP(B16, '💳 Debt Input'!$A:$G, 4, FALSE)), 0))</f>
        <v>25</v>
      </c>
      <c r="Q16" s="67"/>
    </row>
    <row r="17" spans="1:17" ht="18" customHeight="1" x14ac:dyDescent="0.35">
      <c r="A17" s="21">
        <v>2</v>
      </c>
      <c r="B17" s="6" t="str">
        <f>'💳 Debt Input'!$A$9</f>
        <v>Rewards Visa</v>
      </c>
      <c r="C17" s="12">
        <f t="shared" ref="C17:C80" si="3">F11</f>
        <v>15950</v>
      </c>
      <c r="D17" s="12">
        <f>ROUND(C17*'💳 Debt Input'!$C$9/12,2)</f>
        <v>478.5</v>
      </c>
      <c r="E17" s="12">
        <f>IF(B17="", "", MIN(C17+D17, MAX(P17, $F$3 - SUMIFS(E$10:E16, O$10:O16, O17) - SUMIFS(P18:P$1995, O18:O$1995, O17))))</f>
        <v>530</v>
      </c>
      <c r="F17" s="12">
        <f t="shared" si="0"/>
        <v>15898.5</v>
      </c>
      <c r="G17" s="22" t="str">
        <f t="shared" si="1"/>
        <v>Active</v>
      </c>
      <c r="H17" s="23"/>
      <c r="J17" s="67">
        <v>9</v>
      </c>
      <c r="K17" s="67">
        <f>SUM(F59:F64)</f>
        <v>27861.1</v>
      </c>
      <c r="L17" s="67">
        <f>SUM(D59:D64)</f>
        <v>619.18999999999994</v>
      </c>
      <c r="M17" s="67">
        <f>F64</f>
        <v>0</v>
      </c>
      <c r="N17" s="67"/>
      <c r="O17" s="67">
        <f t="shared" si="2"/>
        <v>2</v>
      </c>
      <c r="P17" s="67">
        <f>IF(B17="", 0, IFERROR(MIN(C17+D17, VLOOKUP(B17, '💳 Debt Input'!$A:$G, 4, FALSE)), 0))</f>
        <v>480</v>
      </c>
      <c r="Q17" s="67"/>
    </row>
    <row r="18" spans="1:17" ht="18" customHeight="1" x14ac:dyDescent="0.35">
      <c r="A18" s="22"/>
      <c r="B18" s="6" t="str">
        <f>'💳 Debt Input'!$A$8</f>
        <v>Travel Card</v>
      </c>
      <c r="C18" s="12">
        <f t="shared" si="3"/>
        <v>8865</v>
      </c>
      <c r="D18" s="12">
        <f>ROUND(C18*'💳 Debt Input'!$C$8/12,2)</f>
        <v>132.97999999999999</v>
      </c>
      <c r="E18" s="12">
        <f>IF(B18="", "", MIN(C18+D18, MAX(P18, $F$3 - SUMIFS(E$10:E17, O$10:O17, O18) - SUMIFS(P19:P$1995, O19:O$1995, O18))))</f>
        <v>270</v>
      </c>
      <c r="F18" s="12">
        <f t="shared" si="0"/>
        <v>8727.98</v>
      </c>
      <c r="G18" s="22" t="str">
        <f t="shared" si="1"/>
        <v>Active</v>
      </c>
      <c r="H18" s="23"/>
      <c r="J18" s="67">
        <v>10</v>
      </c>
      <c r="K18" s="67">
        <f>SUM(F65:F70)</f>
        <v>27464.400000000001</v>
      </c>
      <c r="L18" s="67">
        <f>SUM(D65:D70)</f>
        <v>613.30000000000007</v>
      </c>
      <c r="M18" s="67">
        <f>F70</f>
        <v>0</v>
      </c>
      <c r="N18" s="67"/>
      <c r="O18" s="67">
        <f t="shared" si="2"/>
        <v>2</v>
      </c>
      <c r="P18" s="67">
        <f>IF(B18="", 0, IFERROR(MIN(C18+D18, VLOOKUP(B18, '💳 Debt Input'!$A:$G, 4, FALSE)), 0))</f>
        <v>270</v>
      </c>
      <c r="Q18" s="67"/>
    </row>
    <row r="19" spans="1:17" ht="18" customHeight="1" x14ac:dyDescent="0.35">
      <c r="A19" s="22"/>
      <c r="B19" s="6" t="str">
        <f>'💳 Debt Input'!$A$7</f>
        <v>Auto Loan</v>
      </c>
      <c r="C19" s="12">
        <f t="shared" si="3"/>
        <v>3913.33</v>
      </c>
      <c r="D19" s="12">
        <f>ROUND(C19*'💳 Debt Input'!$C$7/12,2)</f>
        <v>32.61</v>
      </c>
      <c r="E19" s="12">
        <f>IF(B19="", "", MIN(C19+D19, MAX(P19, $F$3 - SUMIFS(E$10:E18, O$10:O18, O19) - SUMIFS(P20:P$1995, O20:O$1995, O19))))</f>
        <v>120</v>
      </c>
      <c r="F19" s="12">
        <f t="shared" si="0"/>
        <v>3825.94</v>
      </c>
      <c r="G19" s="22" t="str">
        <f t="shared" si="1"/>
        <v>Active</v>
      </c>
      <c r="H19" s="23"/>
      <c r="J19" s="67">
        <v>11</v>
      </c>
      <c r="K19" s="67">
        <f>SUM(F71:F76)</f>
        <v>27061.63</v>
      </c>
      <c r="L19" s="67">
        <f>SUM(D71:D76)</f>
        <v>607.23000000000013</v>
      </c>
      <c r="M19" s="67">
        <f>F76</f>
        <v>0</v>
      </c>
      <c r="N19" s="67"/>
      <c r="O19" s="67">
        <f t="shared" si="2"/>
        <v>2</v>
      </c>
      <c r="P19" s="67">
        <f>IF(B19="", 0, IFERROR(MIN(C19+D19, VLOOKUP(B19, '💳 Debt Input'!$A:$G, 4, FALSE)), 0))</f>
        <v>120</v>
      </c>
      <c r="Q19" s="67"/>
    </row>
    <row r="20" spans="1:17" ht="18" customHeight="1" x14ac:dyDescent="0.35">
      <c r="A20" s="22"/>
      <c r="B20" s="6" t="str">
        <f>'💳 Debt Input'!$A$6</f>
        <v>Personal Loan</v>
      </c>
      <c r="C20" s="12">
        <f t="shared" si="3"/>
        <v>1467.5</v>
      </c>
      <c r="D20" s="12">
        <f>ROUND(C20*'💳 Debt Input'!$C$6/12,2)</f>
        <v>7.34</v>
      </c>
      <c r="E20" s="12">
        <f>IF(B20="", "", MIN(C20+D20, MAX(P20, $F$3 - SUMIFS(E$10:E19, O$10:O19, O20) - SUMIFS(P21:P$1995, O21:O$1995, O20))))</f>
        <v>40</v>
      </c>
      <c r="F20" s="12">
        <f t="shared" si="0"/>
        <v>1434.84</v>
      </c>
      <c r="G20" s="22" t="str">
        <f t="shared" si="1"/>
        <v>Active</v>
      </c>
      <c r="H20" s="23"/>
      <c r="J20" s="67">
        <v>12</v>
      </c>
      <c r="K20" s="67">
        <f>SUM(F77:F82)</f>
        <v>26652.670000000002</v>
      </c>
      <c r="L20" s="67">
        <f>SUM(D77:D82)</f>
        <v>601.03999999999985</v>
      </c>
      <c r="M20" s="67">
        <f>F82</f>
        <v>0</v>
      </c>
      <c r="N20" s="67"/>
      <c r="O20" s="67">
        <f t="shared" si="2"/>
        <v>2</v>
      </c>
      <c r="P20" s="67">
        <f>IF(B20="", 0, IFERROR(MIN(C20+D20, VLOOKUP(B20, '💳 Debt Input'!$A:$G, 4, FALSE)), 0))</f>
        <v>40</v>
      </c>
      <c r="Q20" s="67"/>
    </row>
    <row r="21" spans="1:17" ht="18" customHeight="1" x14ac:dyDescent="0.35">
      <c r="A21" s="22"/>
      <c r="B21" s="6" t="str">
        <f>'💳 Debt Input'!$A$5</f>
        <v>Medical Bill</v>
      </c>
      <c r="C21" s="12">
        <f t="shared" si="3"/>
        <v>476.67</v>
      </c>
      <c r="D21" s="12">
        <f>ROUND(C21*'💳 Debt Input'!$C$5/12,2)</f>
        <v>1.59</v>
      </c>
      <c r="E21" s="12">
        <f>IF(B21="", "", MIN(C21+D21, MAX(P21, $F$3 - SUMIFS(E$10:E20, O$10:O20, O21) - SUMIFS(P22:P$1995, O22:O$1995, O21))))</f>
        <v>25</v>
      </c>
      <c r="F21" s="12">
        <f t="shared" si="0"/>
        <v>453.26</v>
      </c>
      <c r="G21" s="22" t="str">
        <f t="shared" si="1"/>
        <v>Active</v>
      </c>
      <c r="H21" s="23"/>
      <c r="J21" s="67">
        <v>13</v>
      </c>
      <c r="K21" s="67">
        <f>SUM(F83:F88)</f>
        <v>26237.39</v>
      </c>
      <c r="L21" s="67">
        <f>SUM(D83:D88)</f>
        <v>594.72</v>
      </c>
      <c r="M21" s="67">
        <f>F88</f>
        <v>0</v>
      </c>
      <c r="N21" s="67"/>
      <c r="O21" s="67">
        <f t="shared" si="2"/>
        <v>2</v>
      </c>
      <c r="P21" s="67">
        <f>IF(B21="", 0, IFERROR(MIN(C21+D21, VLOOKUP(B21, '💳 Debt Input'!$A:$G, 4, FALSE)), 0))</f>
        <v>25</v>
      </c>
      <c r="Q21" s="67"/>
    </row>
    <row r="22" spans="1:17" ht="18" customHeight="1" x14ac:dyDescent="0.35">
      <c r="A22" s="22"/>
      <c r="B22" s="6" t="str">
        <f>'💳 Debt Input'!$A$4</f>
        <v>Store Card</v>
      </c>
      <c r="C22" s="12">
        <f t="shared" si="3"/>
        <v>175.5</v>
      </c>
      <c r="D22" s="12">
        <f>ROUND(C22*'💳 Debt Input'!$C$4/12,2)</f>
        <v>0.44</v>
      </c>
      <c r="E22" s="12">
        <f>IF(B22="", "", MIN(C22+D22, MAX(P22, $F$3 - SUMIFS(E$10:E21, O$10:O21, O22) - SUMIFS(P23:P$1995, O23:O$1995, O22))))</f>
        <v>25</v>
      </c>
      <c r="F22" s="12">
        <f t="shared" si="0"/>
        <v>150.94</v>
      </c>
      <c r="G22" s="22" t="str">
        <f t="shared" si="1"/>
        <v>Active</v>
      </c>
      <c r="H22" s="23"/>
      <c r="J22" s="67">
        <v>14</v>
      </c>
      <c r="K22" s="67">
        <f>SUM(F89:F94)</f>
        <v>25815.649999999998</v>
      </c>
      <c r="L22" s="67">
        <f>SUM(D89:D94)</f>
        <v>588.2600000000001</v>
      </c>
      <c r="M22" s="67">
        <f>F94</f>
        <v>0</v>
      </c>
      <c r="N22" s="67"/>
      <c r="O22" s="67">
        <f t="shared" si="2"/>
        <v>2</v>
      </c>
      <c r="P22" s="67">
        <f>IF(B22="", 0, IFERROR(MIN(C22+D22, VLOOKUP(B22, '💳 Debt Input'!$A:$G, 4, FALSE)), 0))</f>
        <v>25</v>
      </c>
      <c r="Q22" s="67"/>
    </row>
    <row r="23" spans="1:17" ht="18" customHeight="1" x14ac:dyDescent="0.35">
      <c r="A23" s="24">
        <v>3</v>
      </c>
      <c r="B23" s="8" t="str">
        <f>'💳 Debt Input'!$A$9</f>
        <v>Rewards Visa</v>
      </c>
      <c r="C23" s="10">
        <f t="shared" si="3"/>
        <v>15898.5</v>
      </c>
      <c r="D23" s="10">
        <f>ROUND(C23*'💳 Debt Input'!$C$9/12,2)</f>
        <v>476.96</v>
      </c>
      <c r="E23" s="10">
        <f>IF(B23="", "", MIN(C23+D23, MAX(P23, $F$3 - SUMIFS(E$10:E22, O$10:O22, O23) - SUMIFS(P24:P$1995, O24:O$1995, O23))))</f>
        <v>530</v>
      </c>
      <c r="F23" s="10">
        <f t="shared" si="0"/>
        <v>15845.46</v>
      </c>
      <c r="G23" s="19" t="str">
        <f t="shared" si="1"/>
        <v>Active</v>
      </c>
      <c r="H23" s="20"/>
      <c r="J23" s="67">
        <v>15</v>
      </c>
      <c r="K23" s="67">
        <f>SUM(F95:F100)</f>
        <v>25387.320000000003</v>
      </c>
      <c r="L23" s="67">
        <f>SUM(D95:D100)</f>
        <v>581.66999999999996</v>
      </c>
      <c r="M23" s="67">
        <f>F100</f>
        <v>0</v>
      </c>
      <c r="N23" s="67"/>
      <c r="O23" s="67">
        <f t="shared" si="2"/>
        <v>3</v>
      </c>
      <c r="P23" s="67">
        <f>IF(B23="", 0, IFERROR(MIN(C23+D23, VLOOKUP(B23, '💳 Debt Input'!$A:$G, 4, FALSE)), 0))</f>
        <v>480</v>
      </c>
      <c r="Q23" s="67"/>
    </row>
    <row r="24" spans="1:17" ht="18" customHeight="1" x14ac:dyDescent="0.35">
      <c r="A24" s="19"/>
      <c r="B24" s="8" t="str">
        <f>'💳 Debt Input'!$A$8</f>
        <v>Travel Card</v>
      </c>
      <c r="C24" s="10">
        <f t="shared" si="3"/>
        <v>8727.98</v>
      </c>
      <c r="D24" s="10">
        <f>ROUND(C24*'💳 Debt Input'!$C$8/12,2)</f>
        <v>130.91999999999999</v>
      </c>
      <c r="E24" s="10">
        <f>IF(B24="", "", MIN(C24+D24, MAX(P24, $F$3 - SUMIFS(E$10:E23, O$10:O23, O24) - SUMIFS(P25:P$1995, O25:O$1995, O24))))</f>
        <v>270</v>
      </c>
      <c r="F24" s="10">
        <f t="shared" si="0"/>
        <v>8588.9</v>
      </c>
      <c r="G24" s="19" t="str">
        <f t="shared" si="1"/>
        <v>Active</v>
      </c>
      <c r="H24" s="20"/>
      <c r="J24" s="67">
        <v>16</v>
      </c>
      <c r="K24" s="67">
        <f>SUM(F101:F106)</f>
        <v>24952.27</v>
      </c>
      <c r="L24" s="67">
        <f>SUM(D101:D106)</f>
        <v>574.95000000000005</v>
      </c>
      <c r="M24" s="67">
        <f>F106</f>
        <v>0</v>
      </c>
      <c r="N24" s="67"/>
      <c r="O24" s="67">
        <f t="shared" si="2"/>
        <v>3</v>
      </c>
      <c r="P24" s="67">
        <f>IF(B24="", 0, IFERROR(MIN(C24+D24, VLOOKUP(B24, '💳 Debt Input'!$A:$G, 4, FALSE)), 0))</f>
        <v>270</v>
      </c>
      <c r="Q24" s="67"/>
    </row>
    <row r="25" spans="1:17" ht="18" customHeight="1" x14ac:dyDescent="0.35">
      <c r="A25" s="19"/>
      <c r="B25" s="8" t="str">
        <f>'💳 Debt Input'!$A$7</f>
        <v>Auto Loan</v>
      </c>
      <c r="C25" s="10">
        <f t="shared" si="3"/>
        <v>3825.94</v>
      </c>
      <c r="D25" s="10">
        <f>ROUND(C25*'💳 Debt Input'!$C$7/12,2)</f>
        <v>31.88</v>
      </c>
      <c r="E25" s="10">
        <f>IF(B25="", "", MIN(C25+D25, MAX(P25, $F$3 - SUMIFS(E$10:E24, O$10:O24, O25) - SUMIFS(P26:P$1995, O26:O$1995, O25))))</f>
        <v>120</v>
      </c>
      <c r="F25" s="10">
        <f t="shared" si="0"/>
        <v>3737.82</v>
      </c>
      <c r="G25" s="19" t="str">
        <f t="shared" si="1"/>
        <v>Active</v>
      </c>
      <c r="H25" s="20"/>
      <c r="J25" s="67">
        <v>17</v>
      </c>
      <c r="K25" s="67">
        <f>SUM(F107:F112)</f>
        <v>24510.36</v>
      </c>
      <c r="L25" s="67">
        <f>SUM(D107:D112)</f>
        <v>568.08999999999992</v>
      </c>
      <c r="M25" s="67">
        <f>F112</f>
        <v>0</v>
      </c>
      <c r="N25" s="67"/>
      <c r="O25" s="67">
        <f t="shared" si="2"/>
        <v>3</v>
      </c>
      <c r="P25" s="67">
        <f>IF(B25="", 0, IFERROR(MIN(C25+D25, VLOOKUP(B25, '💳 Debt Input'!$A:$G, 4, FALSE)), 0))</f>
        <v>120</v>
      </c>
      <c r="Q25" s="67"/>
    </row>
    <row r="26" spans="1:17" ht="18" customHeight="1" x14ac:dyDescent="0.35">
      <c r="A26" s="19"/>
      <c r="B26" s="8" t="str">
        <f>'💳 Debt Input'!$A$6</f>
        <v>Personal Loan</v>
      </c>
      <c r="C26" s="10">
        <f t="shared" si="3"/>
        <v>1434.84</v>
      </c>
      <c r="D26" s="10">
        <f>ROUND(C26*'💳 Debt Input'!$C$6/12,2)</f>
        <v>7.17</v>
      </c>
      <c r="E26" s="10">
        <f>IF(B26="", "", MIN(C26+D26, MAX(P26, $F$3 - SUMIFS(E$10:E25, O$10:O25, O26) - SUMIFS(P27:P$1995, O27:O$1995, O26))))</f>
        <v>40</v>
      </c>
      <c r="F26" s="10">
        <f t="shared" si="0"/>
        <v>1402.01</v>
      </c>
      <c r="G26" s="19" t="str">
        <f t="shared" si="1"/>
        <v>Active</v>
      </c>
      <c r="H26" s="20"/>
      <c r="J26" s="67">
        <v>18</v>
      </c>
      <c r="K26" s="67">
        <f>SUM(F113:F118)</f>
        <v>24061.440000000002</v>
      </c>
      <c r="L26" s="67">
        <f>SUM(D113:D118)</f>
        <v>561.08000000000004</v>
      </c>
      <c r="M26" s="67">
        <f>F118</f>
        <v>0</v>
      </c>
      <c r="N26" s="67"/>
      <c r="O26" s="67">
        <f t="shared" si="2"/>
        <v>3</v>
      </c>
      <c r="P26" s="67">
        <f>IF(B26="", 0, IFERROR(MIN(C26+D26, VLOOKUP(B26, '💳 Debt Input'!$A:$G, 4, FALSE)), 0))</f>
        <v>40</v>
      </c>
      <c r="Q26" s="67"/>
    </row>
    <row r="27" spans="1:17" ht="18" customHeight="1" x14ac:dyDescent="0.35">
      <c r="A27" s="19"/>
      <c r="B27" s="8" t="str">
        <f>'💳 Debt Input'!$A$5</f>
        <v>Medical Bill</v>
      </c>
      <c r="C27" s="10">
        <f t="shared" si="3"/>
        <v>453.26</v>
      </c>
      <c r="D27" s="10">
        <f>ROUND(C27*'💳 Debt Input'!$C$5/12,2)</f>
        <v>1.51</v>
      </c>
      <c r="E27" s="10">
        <f>IF(B27="", "", MIN(C27+D27, MAX(P27, $F$3 - SUMIFS(E$10:E26, O$10:O26, O27) - SUMIFS(P28:P$1995, O28:O$1995, O27))))</f>
        <v>25</v>
      </c>
      <c r="F27" s="10">
        <f t="shared" si="0"/>
        <v>429.77</v>
      </c>
      <c r="G27" s="19" t="str">
        <f t="shared" si="1"/>
        <v>Active</v>
      </c>
      <c r="H27" s="20"/>
      <c r="J27" s="67">
        <v>19</v>
      </c>
      <c r="K27" s="67">
        <f>SUM(F119:F124)</f>
        <v>23605.37</v>
      </c>
      <c r="L27" s="67">
        <f>SUM(D119:D124)</f>
        <v>553.93000000000006</v>
      </c>
      <c r="M27" s="67">
        <f>F124</f>
        <v>0</v>
      </c>
      <c r="N27" s="67"/>
      <c r="O27" s="67">
        <f t="shared" si="2"/>
        <v>3</v>
      </c>
      <c r="P27" s="67">
        <f>IF(B27="", 0, IFERROR(MIN(C27+D27, VLOOKUP(B27, '💳 Debt Input'!$A:$G, 4, FALSE)), 0))</f>
        <v>25</v>
      </c>
      <c r="Q27" s="67"/>
    </row>
    <row r="28" spans="1:17" ht="18" customHeight="1" x14ac:dyDescent="0.35">
      <c r="A28" s="19"/>
      <c r="B28" s="8" t="str">
        <f>'💳 Debt Input'!$A$4</f>
        <v>Store Card</v>
      </c>
      <c r="C28" s="10">
        <f t="shared" si="3"/>
        <v>150.94</v>
      </c>
      <c r="D28" s="10">
        <f>ROUND(C28*'💳 Debt Input'!$C$4/12,2)</f>
        <v>0.38</v>
      </c>
      <c r="E28" s="10">
        <f>IF(B28="", "", MIN(C28+D28, MAX(P28, $F$3 - SUMIFS(E$10:E27, O$10:O27, O28) - SUMIFS(P29:P$1995, O29:O$1995, O28))))</f>
        <v>25</v>
      </c>
      <c r="F28" s="10">
        <f t="shared" si="0"/>
        <v>126.32</v>
      </c>
      <c r="G28" s="19" t="str">
        <f t="shared" si="1"/>
        <v>Active</v>
      </c>
      <c r="H28" s="20"/>
      <c r="J28" s="67">
        <v>20</v>
      </c>
      <c r="K28" s="67">
        <f>SUM(F125:F130)</f>
        <v>23141.98</v>
      </c>
      <c r="L28" s="67">
        <f>SUM(D125:D130)</f>
        <v>546.6099999999999</v>
      </c>
      <c r="M28" s="67">
        <f>F130</f>
        <v>0</v>
      </c>
      <c r="N28" s="67"/>
      <c r="O28" s="67">
        <f t="shared" si="2"/>
        <v>3</v>
      </c>
      <c r="P28" s="67">
        <f>IF(B28="", 0, IFERROR(MIN(C28+D28, VLOOKUP(B28, '💳 Debt Input'!$A:$G, 4, FALSE)), 0))</f>
        <v>25</v>
      </c>
      <c r="Q28" s="67"/>
    </row>
    <row r="29" spans="1:17" ht="18" customHeight="1" x14ac:dyDescent="0.35">
      <c r="A29" s="21">
        <v>4</v>
      </c>
      <c r="B29" s="6" t="str">
        <f>'💳 Debt Input'!$A$9</f>
        <v>Rewards Visa</v>
      </c>
      <c r="C29" s="12">
        <f t="shared" si="3"/>
        <v>15845.46</v>
      </c>
      <c r="D29" s="12">
        <f>ROUND(C29*'💳 Debt Input'!$C$9/12,2)</f>
        <v>475.36</v>
      </c>
      <c r="E29" s="12">
        <f>IF(B29="", "", MIN(C29+D29, MAX(P29, $F$3 - SUMIFS(E$10:E28, O$10:O28, O29) - SUMIFS(P30:P$1995, O30:O$1995, O29))))</f>
        <v>530</v>
      </c>
      <c r="F29" s="12">
        <f t="shared" si="0"/>
        <v>15790.82</v>
      </c>
      <c r="G29" s="22" t="str">
        <f t="shared" si="1"/>
        <v>Active</v>
      </c>
      <c r="H29" s="23"/>
      <c r="J29" s="67">
        <v>21</v>
      </c>
      <c r="K29" s="67">
        <f>SUM(F131:F136)</f>
        <v>22671.14</v>
      </c>
      <c r="L29" s="67">
        <f>SUM(D131:D136)</f>
        <v>539.16</v>
      </c>
      <c r="M29" s="67">
        <f>F136</f>
        <v>0</v>
      </c>
      <c r="N29" s="67"/>
      <c r="O29" s="67">
        <f t="shared" si="2"/>
        <v>4</v>
      </c>
      <c r="P29" s="67">
        <f>IF(B29="", 0, IFERROR(MIN(C29+D29, VLOOKUP(B29, '💳 Debt Input'!$A:$G, 4, FALSE)), 0))</f>
        <v>480</v>
      </c>
      <c r="Q29" s="67"/>
    </row>
    <row r="30" spans="1:17" ht="18" customHeight="1" x14ac:dyDescent="0.35">
      <c r="A30" s="22"/>
      <c r="B30" s="6" t="str">
        <f>'💳 Debt Input'!$A$8</f>
        <v>Travel Card</v>
      </c>
      <c r="C30" s="12">
        <f t="shared" si="3"/>
        <v>8588.9</v>
      </c>
      <c r="D30" s="12">
        <f>ROUND(C30*'💳 Debt Input'!$C$8/12,2)</f>
        <v>128.83000000000001</v>
      </c>
      <c r="E30" s="12">
        <f>IF(B30="", "", MIN(C30+D30, MAX(P30, $F$3 - SUMIFS(E$10:E29, O$10:O29, O30) - SUMIFS(P31:P$1995, O31:O$1995, O30))))</f>
        <v>270</v>
      </c>
      <c r="F30" s="12">
        <f t="shared" si="0"/>
        <v>8447.73</v>
      </c>
      <c r="G30" s="22" t="str">
        <f t="shared" si="1"/>
        <v>Active</v>
      </c>
      <c r="H30" s="23"/>
      <c r="J30" s="67">
        <v>22</v>
      </c>
      <c r="K30" s="67">
        <f>SUM(F137:F142)</f>
        <v>22192.5</v>
      </c>
      <c r="L30" s="67">
        <f>SUM(D137:D142)</f>
        <v>531.36</v>
      </c>
      <c r="M30" s="67">
        <f>F142</f>
        <v>0</v>
      </c>
      <c r="N30" s="67"/>
      <c r="O30" s="67">
        <f t="shared" si="2"/>
        <v>4</v>
      </c>
      <c r="P30" s="67">
        <f>IF(B30="", 0, IFERROR(MIN(C30+D30, VLOOKUP(B30, '💳 Debt Input'!$A:$G, 4, FALSE)), 0))</f>
        <v>270</v>
      </c>
      <c r="Q30" s="67"/>
    </row>
    <row r="31" spans="1:17" ht="18" customHeight="1" x14ac:dyDescent="0.35">
      <c r="A31" s="22"/>
      <c r="B31" s="6" t="str">
        <f>'💳 Debt Input'!$A$7</f>
        <v>Auto Loan</v>
      </c>
      <c r="C31" s="12">
        <f t="shared" si="3"/>
        <v>3737.82</v>
      </c>
      <c r="D31" s="12">
        <f>ROUND(C31*'💳 Debt Input'!$C$7/12,2)</f>
        <v>31.15</v>
      </c>
      <c r="E31" s="12">
        <f>IF(B31="", "", MIN(C31+D31, MAX(P31, $F$3 - SUMIFS(E$10:E30, O$10:O30, O31) - SUMIFS(P32:P$1995, O32:O$1995, O31))))</f>
        <v>120</v>
      </c>
      <c r="F31" s="12">
        <f t="shared" si="0"/>
        <v>3648.97</v>
      </c>
      <c r="G31" s="22" t="str">
        <f t="shared" si="1"/>
        <v>Active</v>
      </c>
      <c r="H31" s="23"/>
      <c r="J31" s="67">
        <v>23</v>
      </c>
      <c r="K31" s="67">
        <f>SUM(F143:F148)</f>
        <v>21705.41</v>
      </c>
      <c r="L31" s="67">
        <f>SUM(D143:D148)</f>
        <v>522.91</v>
      </c>
      <c r="M31" s="67">
        <f>F148</f>
        <v>0</v>
      </c>
      <c r="N31" s="67"/>
      <c r="O31" s="67">
        <f t="shared" si="2"/>
        <v>4</v>
      </c>
      <c r="P31" s="67">
        <f>IF(B31="", 0, IFERROR(MIN(C31+D31, VLOOKUP(B31, '💳 Debt Input'!$A:$G, 4, FALSE)), 0))</f>
        <v>120</v>
      </c>
      <c r="Q31" s="67"/>
    </row>
    <row r="32" spans="1:17" ht="18" customHeight="1" x14ac:dyDescent="0.35">
      <c r="A32" s="22"/>
      <c r="B32" s="6" t="str">
        <f>'💳 Debt Input'!$A$6</f>
        <v>Personal Loan</v>
      </c>
      <c r="C32" s="12">
        <f t="shared" si="3"/>
        <v>1402.01</v>
      </c>
      <c r="D32" s="12">
        <f>ROUND(C32*'💳 Debt Input'!$C$6/12,2)</f>
        <v>7.01</v>
      </c>
      <c r="E32" s="12">
        <f>IF(B32="", "", MIN(C32+D32, MAX(P32, $F$3 - SUMIFS(E$10:E31, O$10:O31, O32) - SUMIFS(P33:P$1995, O33:O$1995, O32))))</f>
        <v>40</v>
      </c>
      <c r="F32" s="12">
        <f t="shared" si="0"/>
        <v>1369.02</v>
      </c>
      <c r="G32" s="22" t="str">
        <f t="shared" si="1"/>
        <v>Active</v>
      </c>
      <c r="H32" s="23"/>
      <c r="J32" s="67">
        <v>24</v>
      </c>
      <c r="K32" s="67">
        <f>SUM(F149:F154)</f>
        <v>21209.679999999997</v>
      </c>
      <c r="L32" s="67">
        <f>SUM(D149:D154)</f>
        <v>514.27</v>
      </c>
      <c r="M32" s="67">
        <f>F154</f>
        <v>0</v>
      </c>
      <c r="N32" s="67"/>
      <c r="O32" s="67">
        <f t="shared" si="2"/>
        <v>4</v>
      </c>
      <c r="P32" s="67">
        <f>IF(B32="", 0, IFERROR(MIN(C32+D32, VLOOKUP(B32, '💳 Debt Input'!$A:$G, 4, FALSE)), 0))</f>
        <v>40</v>
      </c>
      <c r="Q32" s="67"/>
    </row>
    <row r="33" spans="1:17" ht="18" customHeight="1" x14ac:dyDescent="0.35">
      <c r="A33" s="22"/>
      <c r="B33" s="6" t="str">
        <f>'💳 Debt Input'!$A$5</f>
        <v>Medical Bill</v>
      </c>
      <c r="C33" s="12">
        <f t="shared" si="3"/>
        <v>429.77</v>
      </c>
      <c r="D33" s="12">
        <f>ROUND(C33*'💳 Debt Input'!$C$5/12,2)</f>
        <v>1.43</v>
      </c>
      <c r="E33" s="12">
        <f>IF(B33="", "", MIN(C33+D33, MAX(P33, $F$3 - SUMIFS(E$10:E32, O$10:O32, O33) - SUMIFS(P34:P$1995, O34:O$1995, O33))))</f>
        <v>25</v>
      </c>
      <c r="F33" s="12">
        <f t="shared" si="0"/>
        <v>406.2</v>
      </c>
      <c r="G33" s="22" t="str">
        <f t="shared" si="1"/>
        <v>Active</v>
      </c>
      <c r="H33" s="23"/>
      <c r="J33" s="67">
        <v>25</v>
      </c>
      <c r="K33" s="67">
        <f>SUM(F155:F160)</f>
        <v>20705.11</v>
      </c>
      <c r="L33" s="67">
        <f>SUM(D155:D160)</f>
        <v>505.43</v>
      </c>
      <c r="M33" s="67">
        <f>F160</f>
        <v>0</v>
      </c>
      <c r="N33" s="67"/>
      <c r="O33" s="67">
        <f t="shared" si="2"/>
        <v>4</v>
      </c>
      <c r="P33" s="67">
        <f>IF(B33="", 0, IFERROR(MIN(C33+D33, VLOOKUP(B33, '💳 Debt Input'!$A:$G, 4, FALSE)), 0))</f>
        <v>25</v>
      </c>
      <c r="Q33" s="67"/>
    </row>
    <row r="34" spans="1:17" ht="18" customHeight="1" x14ac:dyDescent="0.35">
      <c r="A34" s="22"/>
      <c r="B34" s="6" t="str">
        <f>'💳 Debt Input'!$A$4</f>
        <v>Store Card</v>
      </c>
      <c r="C34" s="12">
        <f t="shared" si="3"/>
        <v>126.32</v>
      </c>
      <c r="D34" s="12">
        <f>ROUND(C34*'💳 Debt Input'!$C$4/12,2)</f>
        <v>0.32</v>
      </c>
      <c r="E34" s="12">
        <f>IF(B34="", "", MIN(C34+D34, MAX(P34, $F$3 - SUMIFS(E$10:E33, O$10:O33, O34) - SUMIFS(P35:P$1995, O35:O$1995, O34))))</f>
        <v>25</v>
      </c>
      <c r="F34" s="12">
        <f t="shared" si="0"/>
        <v>101.64</v>
      </c>
      <c r="G34" s="22" t="str">
        <f t="shared" si="1"/>
        <v>Active</v>
      </c>
      <c r="H34" s="23"/>
      <c r="J34" s="67">
        <v>26</v>
      </c>
      <c r="K34" s="67">
        <f>SUM(F161:F166)</f>
        <v>20191.5</v>
      </c>
      <c r="L34" s="67">
        <f>SUM(D161:D166)</f>
        <v>496.39000000000004</v>
      </c>
      <c r="M34" s="67">
        <f>F166</f>
        <v>0</v>
      </c>
      <c r="N34" s="67"/>
      <c r="O34" s="67">
        <f t="shared" si="2"/>
        <v>4</v>
      </c>
      <c r="P34" s="67">
        <f>IF(B34="", 0, IFERROR(MIN(C34+D34, VLOOKUP(B34, '💳 Debt Input'!$A:$G, 4, FALSE)), 0))</f>
        <v>25</v>
      </c>
      <c r="Q34" s="67"/>
    </row>
    <row r="35" spans="1:17" ht="18" customHeight="1" x14ac:dyDescent="0.35">
      <c r="A35" s="24">
        <v>5</v>
      </c>
      <c r="B35" s="8" t="str">
        <f>'💳 Debt Input'!$A$9</f>
        <v>Rewards Visa</v>
      </c>
      <c r="C35" s="10">
        <f t="shared" si="3"/>
        <v>15790.82</v>
      </c>
      <c r="D35" s="10">
        <f>ROUND(C35*'💳 Debt Input'!$C$9/12,2)</f>
        <v>473.72</v>
      </c>
      <c r="E35" s="10">
        <f>IF(B35="", "", MIN(C35+D35, MAX(P35, $F$3 - SUMIFS(E$10:E34, O$10:O34, O35) - SUMIFS(P36:P$1995, O36:O$1995, O35))))</f>
        <v>530</v>
      </c>
      <c r="F35" s="10">
        <f t="shared" si="0"/>
        <v>15734.54</v>
      </c>
      <c r="G35" s="19" t="str">
        <f t="shared" si="1"/>
        <v>Active</v>
      </c>
      <c r="H35" s="20"/>
      <c r="J35" s="67">
        <v>27</v>
      </c>
      <c r="K35" s="67">
        <f>SUM(F167:F172)</f>
        <v>19668.649999999998</v>
      </c>
      <c r="L35" s="67">
        <f>SUM(D167:D172)</f>
        <v>487.15</v>
      </c>
      <c r="M35" s="67">
        <f>F172</f>
        <v>0</v>
      </c>
      <c r="N35" s="67"/>
      <c r="O35" s="67">
        <f t="shared" si="2"/>
        <v>5</v>
      </c>
      <c r="P35" s="67">
        <f>IF(B35="", 0, IFERROR(MIN(C35+D35, VLOOKUP(B35, '💳 Debt Input'!$A:$G, 4, FALSE)), 0))</f>
        <v>480</v>
      </c>
      <c r="Q35" s="67"/>
    </row>
    <row r="36" spans="1:17" ht="18" customHeight="1" x14ac:dyDescent="0.35">
      <c r="A36" s="19"/>
      <c r="B36" s="8" t="str">
        <f>'💳 Debt Input'!$A$8</f>
        <v>Travel Card</v>
      </c>
      <c r="C36" s="10">
        <f t="shared" si="3"/>
        <v>8447.73</v>
      </c>
      <c r="D36" s="10">
        <f>ROUND(C36*'💳 Debt Input'!$C$8/12,2)</f>
        <v>126.72</v>
      </c>
      <c r="E36" s="10">
        <f>IF(B36="", "", MIN(C36+D36, MAX(P36, $F$3 - SUMIFS(E$10:E35, O$10:O35, O36) - SUMIFS(P37:P$1995, O37:O$1995, O36))))</f>
        <v>270</v>
      </c>
      <c r="F36" s="10">
        <f t="shared" si="0"/>
        <v>8304.4500000000007</v>
      </c>
      <c r="G36" s="19" t="str">
        <f t="shared" si="1"/>
        <v>Active</v>
      </c>
      <c r="H36" s="20"/>
      <c r="J36" s="67">
        <v>28</v>
      </c>
      <c r="K36" s="67">
        <f>SUM(F173:F178)</f>
        <v>19136.369999999995</v>
      </c>
      <c r="L36" s="67">
        <f>SUM(D173:D178)</f>
        <v>477.71999999999997</v>
      </c>
      <c r="M36" s="67">
        <f>F178</f>
        <v>0</v>
      </c>
      <c r="N36" s="67"/>
      <c r="O36" s="67">
        <f t="shared" si="2"/>
        <v>5</v>
      </c>
      <c r="P36" s="67">
        <f>IF(B36="", 0, IFERROR(MIN(C36+D36, VLOOKUP(B36, '💳 Debt Input'!$A:$G, 4, FALSE)), 0))</f>
        <v>270</v>
      </c>
      <c r="Q36" s="67"/>
    </row>
    <row r="37" spans="1:17" ht="18" customHeight="1" x14ac:dyDescent="0.35">
      <c r="A37" s="19"/>
      <c r="B37" s="8" t="str">
        <f>'💳 Debt Input'!$A$7</f>
        <v>Auto Loan</v>
      </c>
      <c r="C37" s="10">
        <f t="shared" si="3"/>
        <v>3648.97</v>
      </c>
      <c r="D37" s="10">
        <f>ROUND(C37*'💳 Debt Input'!$C$7/12,2)</f>
        <v>30.41</v>
      </c>
      <c r="E37" s="10">
        <f>IF(B37="", "", MIN(C37+D37, MAX(P37, $F$3 - SUMIFS(E$10:E36, O$10:O36, O37) - SUMIFS(P38:P$1995, O38:O$1995, O37))))</f>
        <v>120</v>
      </c>
      <c r="F37" s="10">
        <f t="shared" si="0"/>
        <v>3559.38</v>
      </c>
      <c r="G37" s="19" t="str">
        <f t="shared" si="1"/>
        <v>Active</v>
      </c>
      <c r="H37" s="20"/>
      <c r="J37" s="67">
        <v>29</v>
      </c>
      <c r="K37" s="67">
        <f>SUM(F179:F184)</f>
        <v>18594.419999999998</v>
      </c>
      <c r="L37" s="67">
        <f>SUM(D179:D184)</f>
        <v>468.05</v>
      </c>
      <c r="M37" s="67">
        <f>F184</f>
        <v>0</v>
      </c>
      <c r="N37" s="67"/>
      <c r="O37" s="67">
        <f t="shared" si="2"/>
        <v>5</v>
      </c>
      <c r="P37" s="67">
        <f>IF(B37="", 0, IFERROR(MIN(C37+D37, VLOOKUP(B37, '💳 Debt Input'!$A:$G, 4, FALSE)), 0))</f>
        <v>120</v>
      </c>
      <c r="Q37" s="67"/>
    </row>
    <row r="38" spans="1:17" ht="18" customHeight="1" x14ac:dyDescent="0.35">
      <c r="A38" s="19"/>
      <c r="B38" s="8" t="str">
        <f>'💳 Debt Input'!$A$6</f>
        <v>Personal Loan</v>
      </c>
      <c r="C38" s="10">
        <f t="shared" si="3"/>
        <v>1369.02</v>
      </c>
      <c r="D38" s="10">
        <f>ROUND(C38*'💳 Debt Input'!$C$6/12,2)</f>
        <v>6.85</v>
      </c>
      <c r="E38" s="10">
        <f>IF(B38="", "", MIN(C38+D38, MAX(P38, $F$3 - SUMIFS(E$10:E37, O$10:O37, O38) - SUMIFS(P39:P$1995, O39:O$1995, O38))))</f>
        <v>40</v>
      </c>
      <c r="F38" s="10">
        <f t="shared" si="0"/>
        <v>1335.87</v>
      </c>
      <c r="G38" s="19" t="str">
        <f t="shared" si="1"/>
        <v>Active</v>
      </c>
      <c r="H38" s="20"/>
      <c r="J38" s="67">
        <v>30</v>
      </c>
      <c r="K38" s="67">
        <f>SUM(F185:F190)</f>
        <v>18042.579999999998</v>
      </c>
      <c r="L38" s="67">
        <f>SUM(D185:D190)</f>
        <v>458.16</v>
      </c>
      <c r="M38" s="67">
        <f>F190</f>
        <v>0</v>
      </c>
      <c r="N38" s="67"/>
      <c r="O38" s="67">
        <f t="shared" si="2"/>
        <v>5</v>
      </c>
      <c r="P38" s="67">
        <f>IF(B38="", 0, IFERROR(MIN(C38+D38, VLOOKUP(B38, '💳 Debt Input'!$A:$G, 4, FALSE)), 0))</f>
        <v>40</v>
      </c>
      <c r="Q38" s="67"/>
    </row>
    <row r="39" spans="1:17" ht="18" customHeight="1" x14ac:dyDescent="0.35">
      <c r="A39" s="19"/>
      <c r="B39" s="8" t="str">
        <f>'💳 Debt Input'!$A$5</f>
        <v>Medical Bill</v>
      </c>
      <c r="C39" s="10">
        <f t="shared" si="3"/>
        <v>406.2</v>
      </c>
      <c r="D39" s="10">
        <f>ROUND(C39*'💳 Debt Input'!$C$5/12,2)</f>
        <v>1.35</v>
      </c>
      <c r="E39" s="10">
        <f>IF(B39="", "", MIN(C39+D39, MAX(P39, $F$3 - SUMIFS(E$10:E38, O$10:O38, O39) - SUMIFS(P40:P$1995, O40:O$1995, O39))))</f>
        <v>25</v>
      </c>
      <c r="F39" s="10">
        <f t="shared" si="0"/>
        <v>382.55</v>
      </c>
      <c r="G39" s="19" t="str">
        <f t="shared" si="1"/>
        <v>Active</v>
      </c>
      <c r="H39" s="20"/>
      <c r="J39" s="67">
        <v>31</v>
      </c>
      <c r="K39" s="67">
        <f>SUM(F191:F196)</f>
        <v>17480.62</v>
      </c>
      <c r="L39" s="67">
        <f>SUM(D191:D196)</f>
        <v>448.04</v>
      </c>
      <c r="M39" s="67">
        <f>F196</f>
        <v>0</v>
      </c>
      <c r="N39" s="67"/>
      <c r="O39" s="67">
        <f t="shared" si="2"/>
        <v>5</v>
      </c>
      <c r="P39" s="67">
        <f>IF(B39="", 0, IFERROR(MIN(C39+D39, VLOOKUP(B39, '💳 Debt Input'!$A:$G, 4, FALSE)), 0))</f>
        <v>25</v>
      </c>
      <c r="Q39" s="67"/>
    </row>
    <row r="40" spans="1:17" ht="18" customHeight="1" x14ac:dyDescent="0.35">
      <c r="A40" s="19"/>
      <c r="B40" s="8" t="str">
        <f>'💳 Debt Input'!$A$4</f>
        <v>Store Card</v>
      </c>
      <c r="C40" s="10">
        <f t="shared" si="3"/>
        <v>101.64</v>
      </c>
      <c r="D40" s="10">
        <f>ROUND(C40*'💳 Debt Input'!$C$4/12,2)</f>
        <v>0.25</v>
      </c>
      <c r="E40" s="10">
        <f>IF(B40="", "", MIN(C40+D40, MAX(P40, $F$3 - SUMIFS(E$10:E39, O$10:O39, O40) - SUMIFS(P41:P$1995, O41:O$1995, O40))))</f>
        <v>25</v>
      </c>
      <c r="F40" s="10">
        <f t="shared" si="0"/>
        <v>76.89</v>
      </c>
      <c r="G40" s="19" t="str">
        <f t="shared" si="1"/>
        <v>Active</v>
      </c>
      <c r="H40" s="20"/>
      <c r="J40" s="67">
        <v>32</v>
      </c>
      <c r="K40" s="67">
        <f>SUM(F197:F202)</f>
        <v>16908.34</v>
      </c>
      <c r="L40" s="67">
        <f>SUM(D197:D202)</f>
        <v>437.72</v>
      </c>
      <c r="M40" s="67">
        <f>F202</f>
        <v>0</v>
      </c>
      <c r="N40" s="67"/>
      <c r="O40" s="67">
        <f t="shared" si="2"/>
        <v>5</v>
      </c>
      <c r="P40" s="67">
        <f>IF(B40="", 0, IFERROR(MIN(C40+D40, VLOOKUP(B40, '💳 Debt Input'!$A:$G, 4, FALSE)), 0))</f>
        <v>25</v>
      </c>
      <c r="Q40" s="67"/>
    </row>
    <row r="41" spans="1:17" ht="18" customHeight="1" x14ac:dyDescent="0.35">
      <c r="A41" s="21">
        <v>6</v>
      </c>
      <c r="B41" s="6" t="str">
        <f>'💳 Debt Input'!$A$9</f>
        <v>Rewards Visa</v>
      </c>
      <c r="C41" s="12">
        <f t="shared" si="3"/>
        <v>15734.54</v>
      </c>
      <c r="D41" s="12">
        <f>ROUND(C41*'💳 Debt Input'!$C$9/12,2)</f>
        <v>472.04</v>
      </c>
      <c r="E41" s="12">
        <f>IF(B41="", "", MIN(C41+D41, MAX(P41, $F$3 - SUMIFS(E$10:E40, O$10:O40, O41) - SUMIFS(P42:P$1995, O42:O$1995, O41))))</f>
        <v>530</v>
      </c>
      <c r="F41" s="12">
        <f t="shared" si="0"/>
        <v>15676.58</v>
      </c>
      <c r="G41" s="22" t="str">
        <f t="shared" si="1"/>
        <v>Active</v>
      </c>
      <c r="H41" s="23"/>
      <c r="J41" s="67">
        <v>33</v>
      </c>
      <c r="K41" s="67">
        <f>SUM(F203:F208)</f>
        <v>16325.48</v>
      </c>
      <c r="L41" s="67">
        <f>SUM(D203:D208)</f>
        <v>427.14000000000004</v>
      </c>
      <c r="M41" s="67">
        <f>F208</f>
        <v>0</v>
      </c>
      <c r="N41" s="67"/>
      <c r="O41" s="67">
        <f t="shared" si="2"/>
        <v>6</v>
      </c>
      <c r="P41" s="67">
        <f>IF(B41="", 0, IFERROR(MIN(C41+D41, VLOOKUP(B41, '💳 Debt Input'!$A:$G, 4, FALSE)), 0))</f>
        <v>480</v>
      </c>
      <c r="Q41" s="67"/>
    </row>
    <row r="42" spans="1:17" ht="18" customHeight="1" x14ac:dyDescent="0.35">
      <c r="A42" s="22"/>
      <c r="B42" s="6" t="str">
        <f>'💳 Debt Input'!$A$8</f>
        <v>Travel Card</v>
      </c>
      <c r="C42" s="12">
        <f t="shared" si="3"/>
        <v>8304.4500000000007</v>
      </c>
      <c r="D42" s="12">
        <f>ROUND(C42*'💳 Debt Input'!$C$8/12,2)</f>
        <v>124.57</v>
      </c>
      <c r="E42" s="12">
        <f>IF(B42="", "", MIN(C42+D42, MAX(P42, $F$3 - SUMIFS(E$10:E41, O$10:O41, O42) - SUMIFS(P43:P$1995, O43:O$1995, O42))))</f>
        <v>270</v>
      </c>
      <c r="F42" s="12">
        <f t="shared" si="0"/>
        <v>8159.02</v>
      </c>
      <c r="G42" s="22" t="str">
        <f t="shared" si="1"/>
        <v>Active</v>
      </c>
      <c r="H42" s="23"/>
      <c r="J42" s="67">
        <v>34</v>
      </c>
      <c r="K42" s="67">
        <f>SUM(F209:F214)</f>
        <v>15731.800000000001</v>
      </c>
      <c r="L42" s="67">
        <f>SUM(D209:D214)</f>
        <v>416.32</v>
      </c>
      <c r="M42" s="67">
        <f>F214</f>
        <v>0</v>
      </c>
      <c r="N42" s="67"/>
      <c r="O42" s="67">
        <f t="shared" si="2"/>
        <v>6</v>
      </c>
      <c r="P42" s="67">
        <f>IF(B42="", 0, IFERROR(MIN(C42+D42, VLOOKUP(B42, '💳 Debt Input'!$A:$G, 4, FALSE)), 0))</f>
        <v>270</v>
      </c>
      <c r="Q42" s="67"/>
    </row>
    <row r="43" spans="1:17" ht="18" customHeight="1" x14ac:dyDescent="0.35">
      <c r="A43" s="22"/>
      <c r="B43" s="6" t="str">
        <f>'💳 Debt Input'!$A$7</f>
        <v>Auto Loan</v>
      </c>
      <c r="C43" s="12">
        <f t="shared" si="3"/>
        <v>3559.38</v>
      </c>
      <c r="D43" s="12">
        <f>ROUND(C43*'💳 Debt Input'!$C$7/12,2)</f>
        <v>29.66</v>
      </c>
      <c r="E43" s="12">
        <f>IF(B43="", "", MIN(C43+D43, MAX(P43, $F$3 - SUMIFS(E$10:E42, O$10:O42, O43) - SUMIFS(P44:P$1995, O44:O$1995, O43))))</f>
        <v>120</v>
      </c>
      <c r="F43" s="12">
        <f t="shared" si="0"/>
        <v>3469.04</v>
      </c>
      <c r="G43" s="22" t="str">
        <f t="shared" si="1"/>
        <v>Active</v>
      </c>
      <c r="H43" s="23"/>
      <c r="J43" s="67">
        <v>35</v>
      </c>
      <c r="K43" s="67">
        <f>SUM(F215:F220)</f>
        <v>15127.039999999999</v>
      </c>
      <c r="L43" s="67">
        <f>SUM(D215:D220)</f>
        <v>405.24</v>
      </c>
      <c r="M43" s="67">
        <f>F220</f>
        <v>0</v>
      </c>
      <c r="N43" s="67"/>
      <c r="O43" s="67">
        <f t="shared" si="2"/>
        <v>6</v>
      </c>
      <c r="P43" s="67">
        <f>IF(B43="", 0, IFERROR(MIN(C43+D43, VLOOKUP(B43, '💳 Debt Input'!$A:$G, 4, FALSE)), 0))</f>
        <v>120</v>
      </c>
      <c r="Q43" s="67"/>
    </row>
    <row r="44" spans="1:17" ht="18" customHeight="1" x14ac:dyDescent="0.35">
      <c r="A44" s="22"/>
      <c r="B44" s="6" t="str">
        <f>'💳 Debt Input'!$A$6</f>
        <v>Personal Loan</v>
      </c>
      <c r="C44" s="12">
        <f t="shared" si="3"/>
        <v>1335.87</v>
      </c>
      <c r="D44" s="12">
        <f>ROUND(C44*'💳 Debt Input'!$C$6/12,2)</f>
        <v>6.68</v>
      </c>
      <c r="E44" s="12">
        <f>IF(B44="", "", MIN(C44+D44, MAX(P44, $F$3 - SUMIFS(E$10:E43, O$10:O43, O44) - SUMIFS(P45:P$1995, O45:O$1995, O44))))</f>
        <v>40</v>
      </c>
      <c r="F44" s="12">
        <f t="shared" si="0"/>
        <v>1302.55</v>
      </c>
      <c r="G44" s="22" t="str">
        <f t="shared" si="1"/>
        <v>Active</v>
      </c>
      <c r="H44" s="23"/>
      <c r="J44" s="67">
        <v>36</v>
      </c>
      <c r="K44" s="67">
        <f>SUM(F221:F226)</f>
        <v>14510.95</v>
      </c>
      <c r="L44" s="67">
        <f>SUM(D221:D226)</f>
        <v>393.91</v>
      </c>
      <c r="M44" s="67">
        <f>F226</f>
        <v>0</v>
      </c>
      <c r="N44" s="67"/>
      <c r="O44" s="67">
        <f t="shared" si="2"/>
        <v>6</v>
      </c>
      <c r="P44" s="67">
        <f>IF(B44="", 0, IFERROR(MIN(C44+D44, VLOOKUP(B44, '💳 Debt Input'!$A:$G, 4, FALSE)), 0))</f>
        <v>40</v>
      </c>
      <c r="Q44" s="67"/>
    </row>
    <row r="45" spans="1:17" ht="18" customHeight="1" x14ac:dyDescent="0.35">
      <c r="A45" s="22"/>
      <c r="B45" s="6" t="str">
        <f>'💳 Debt Input'!$A$5</f>
        <v>Medical Bill</v>
      </c>
      <c r="C45" s="12">
        <f t="shared" si="3"/>
        <v>382.55</v>
      </c>
      <c r="D45" s="12">
        <f>ROUND(C45*'💳 Debt Input'!$C$5/12,2)</f>
        <v>1.28</v>
      </c>
      <c r="E45" s="12">
        <f>IF(B45="", "", MIN(C45+D45, MAX(P45, $F$3 - SUMIFS(E$10:E44, O$10:O44, O45) - SUMIFS(P46:P$1995, O46:O$1995, O45))))</f>
        <v>25</v>
      </c>
      <c r="F45" s="12">
        <f t="shared" si="0"/>
        <v>358.83</v>
      </c>
      <c r="G45" s="22" t="str">
        <f t="shared" si="1"/>
        <v>Active</v>
      </c>
      <c r="H45" s="23"/>
      <c r="J45" s="67">
        <v>37</v>
      </c>
      <c r="K45" s="67">
        <f>SUM(F227:F232)</f>
        <v>13883.27</v>
      </c>
      <c r="L45" s="67">
        <f>SUM(D227:D232)</f>
        <v>382.32</v>
      </c>
      <c r="M45" s="67">
        <f>F232</f>
        <v>0</v>
      </c>
      <c r="N45" s="67"/>
      <c r="O45" s="67">
        <f t="shared" si="2"/>
        <v>6</v>
      </c>
      <c r="P45" s="67">
        <f>IF(B45="", 0, IFERROR(MIN(C45+D45, VLOOKUP(B45, '💳 Debt Input'!$A:$G, 4, FALSE)), 0))</f>
        <v>25</v>
      </c>
      <c r="Q45" s="67"/>
    </row>
    <row r="46" spans="1:17" ht="18" customHeight="1" x14ac:dyDescent="0.35">
      <c r="A46" s="22"/>
      <c r="B46" s="6" t="str">
        <f>'💳 Debt Input'!$A$4</f>
        <v>Store Card</v>
      </c>
      <c r="C46" s="12">
        <f t="shared" si="3"/>
        <v>76.89</v>
      </c>
      <c r="D46" s="12">
        <f>ROUND(C46*'💳 Debt Input'!$C$4/12,2)</f>
        <v>0.19</v>
      </c>
      <c r="E46" s="12">
        <f>IF(B46="", "", MIN(C46+D46, MAX(P46, $F$3 - SUMIFS(E$10:E45, O$10:O45, O46) - SUMIFS(P47:P$1995, O47:O$1995, O46))))</f>
        <v>25</v>
      </c>
      <c r="F46" s="12">
        <f t="shared" si="0"/>
        <v>52.08</v>
      </c>
      <c r="G46" s="22" t="str">
        <f t="shared" si="1"/>
        <v>Active</v>
      </c>
      <c r="H46" s="23"/>
      <c r="J46" s="67">
        <v>38</v>
      </c>
      <c r="K46" s="67">
        <f>SUM(F233:F238)</f>
        <v>13243.710000000001</v>
      </c>
      <c r="L46" s="67">
        <f>SUM(D233:D238)</f>
        <v>370.44000000000005</v>
      </c>
      <c r="M46" s="67">
        <f>F238</f>
        <v>0</v>
      </c>
      <c r="N46" s="67"/>
      <c r="O46" s="67">
        <f t="shared" si="2"/>
        <v>6</v>
      </c>
      <c r="P46" s="67">
        <f>IF(B46="", 0, IFERROR(MIN(C46+D46, VLOOKUP(B46, '💳 Debt Input'!$A:$G, 4, FALSE)), 0))</f>
        <v>25</v>
      </c>
      <c r="Q46" s="67"/>
    </row>
    <row r="47" spans="1:17" ht="18" customHeight="1" x14ac:dyDescent="0.35">
      <c r="A47" s="24">
        <v>7</v>
      </c>
      <c r="B47" s="8" t="str">
        <f>'💳 Debt Input'!$A$9</f>
        <v>Rewards Visa</v>
      </c>
      <c r="C47" s="10">
        <f t="shared" si="3"/>
        <v>15676.58</v>
      </c>
      <c r="D47" s="10">
        <f>ROUND(C47*'💳 Debt Input'!$C$9/12,2)</f>
        <v>470.3</v>
      </c>
      <c r="E47" s="10">
        <f>IF(B47="", "", MIN(C47+D47, MAX(P47, $F$3 - SUMIFS(E$10:E46, O$10:O46, O47) - SUMIFS(P48:P$1995, O48:O$1995, O47))))</f>
        <v>530</v>
      </c>
      <c r="F47" s="10">
        <f t="shared" si="0"/>
        <v>15616.88</v>
      </c>
      <c r="G47" s="19" t="str">
        <f t="shared" si="1"/>
        <v>Active</v>
      </c>
      <c r="H47" s="20"/>
      <c r="J47" s="67">
        <v>39</v>
      </c>
      <c r="K47" s="67">
        <f>SUM(F239:F244)</f>
        <v>12592.01</v>
      </c>
      <c r="L47" s="67">
        <f>SUM(D239:D244)</f>
        <v>358.3</v>
      </c>
      <c r="M47" s="67">
        <f>F244</f>
        <v>0</v>
      </c>
      <c r="N47" s="67"/>
      <c r="O47" s="67">
        <f t="shared" si="2"/>
        <v>7</v>
      </c>
      <c r="P47" s="67">
        <f>IF(B47="", 0, IFERROR(MIN(C47+D47, VLOOKUP(B47, '💳 Debt Input'!$A:$G, 4, FALSE)), 0))</f>
        <v>480</v>
      </c>
      <c r="Q47" s="67"/>
    </row>
    <row r="48" spans="1:17" ht="18" customHeight="1" x14ac:dyDescent="0.35">
      <c r="A48" s="19"/>
      <c r="B48" s="8" t="str">
        <f>'💳 Debt Input'!$A$8</f>
        <v>Travel Card</v>
      </c>
      <c r="C48" s="10">
        <f t="shared" si="3"/>
        <v>8159.02</v>
      </c>
      <c r="D48" s="10">
        <f>ROUND(C48*'💳 Debt Input'!$C$8/12,2)</f>
        <v>122.39</v>
      </c>
      <c r="E48" s="10">
        <f>IF(B48="", "", MIN(C48+D48, MAX(P48, $F$3 - SUMIFS(E$10:E47, O$10:O47, O48) - SUMIFS(P49:P$1995, O49:O$1995, O48))))</f>
        <v>270</v>
      </c>
      <c r="F48" s="10">
        <f t="shared" si="0"/>
        <v>8011.41</v>
      </c>
      <c r="G48" s="19" t="str">
        <f t="shared" si="1"/>
        <v>Active</v>
      </c>
      <c r="H48" s="20"/>
      <c r="J48" s="67">
        <v>40</v>
      </c>
      <c r="K48" s="67">
        <f>SUM(F245:F250)</f>
        <v>11927.880000000001</v>
      </c>
      <c r="L48" s="67">
        <f>SUM(D245:D250)</f>
        <v>345.87</v>
      </c>
      <c r="M48" s="67">
        <f>F250</f>
        <v>0</v>
      </c>
      <c r="N48" s="67"/>
      <c r="O48" s="67">
        <f t="shared" si="2"/>
        <v>7</v>
      </c>
      <c r="P48" s="67">
        <f>IF(B48="", 0, IFERROR(MIN(C48+D48, VLOOKUP(B48, '💳 Debt Input'!$A:$G, 4, FALSE)), 0))</f>
        <v>270</v>
      </c>
      <c r="Q48" s="67"/>
    </row>
    <row r="49" spans="1:17" ht="18" customHeight="1" x14ac:dyDescent="0.35">
      <c r="A49" s="19"/>
      <c r="B49" s="8" t="str">
        <f>'💳 Debt Input'!$A$7</f>
        <v>Auto Loan</v>
      </c>
      <c r="C49" s="10">
        <f t="shared" si="3"/>
        <v>3469.04</v>
      </c>
      <c r="D49" s="10">
        <f>ROUND(C49*'💳 Debt Input'!$C$7/12,2)</f>
        <v>28.91</v>
      </c>
      <c r="E49" s="10">
        <f>IF(B49="", "", MIN(C49+D49, MAX(P49, $F$3 - SUMIFS(E$10:E48, O$10:O48, O49) - SUMIFS(P50:P$1995, O50:O$1995, O49))))</f>
        <v>120</v>
      </c>
      <c r="F49" s="10">
        <f t="shared" si="0"/>
        <v>3377.95</v>
      </c>
      <c r="G49" s="19" t="str">
        <f t="shared" si="1"/>
        <v>Active</v>
      </c>
      <c r="H49" s="20"/>
      <c r="J49" s="67">
        <v>41</v>
      </c>
      <c r="K49" s="67">
        <f>SUM(F251:F256)</f>
        <v>11248.98</v>
      </c>
      <c r="L49" s="67">
        <f>SUM(D251:D256)</f>
        <v>331.1</v>
      </c>
      <c r="M49" s="67">
        <f>F256</f>
        <v>0</v>
      </c>
      <c r="N49" s="67"/>
      <c r="O49" s="67">
        <f t="shared" si="2"/>
        <v>7</v>
      </c>
      <c r="P49" s="67">
        <f>IF(B49="", 0, IFERROR(MIN(C49+D49, VLOOKUP(B49, '💳 Debt Input'!$A:$G, 4, FALSE)), 0))</f>
        <v>120</v>
      </c>
      <c r="Q49" s="67"/>
    </row>
    <row r="50" spans="1:17" ht="18" customHeight="1" x14ac:dyDescent="0.35">
      <c r="A50" s="19"/>
      <c r="B50" s="8" t="str">
        <f>'💳 Debt Input'!$A$6</f>
        <v>Personal Loan</v>
      </c>
      <c r="C50" s="10">
        <f t="shared" si="3"/>
        <v>1302.55</v>
      </c>
      <c r="D50" s="10">
        <f>ROUND(C50*'💳 Debt Input'!$C$6/12,2)</f>
        <v>6.51</v>
      </c>
      <c r="E50" s="10">
        <f>IF(B50="", "", MIN(C50+D50, MAX(P50, $F$3 - SUMIFS(E$10:E49, O$10:O49, O50) - SUMIFS(P51:P$1995, O51:O$1995, O50))))</f>
        <v>40</v>
      </c>
      <c r="F50" s="10">
        <f t="shared" si="0"/>
        <v>1269.06</v>
      </c>
      <c r="G50" s="19" t="str">
        <f t="shared" si="1"/>
        <v>Active</v>
      </c>
      <c r="H50" s="20"/>
      <c r="J50" s="67">
        <v>42</v>
      </c>
      <c r="K50" s="67">
        <f>SUM(F257:F262)</f>
        <v>10554.38</v>
      </c>
      <c r="L50" s="67">
        <f>SUM(D257:D262)</f>
        <v>315.39999999999998</v>
      </c>
      <c r="M50" s="67">
        <f>F262</f>
        <v>0</v>
      </c>
      <c r="N50" s="67"/>
      <c r="O50" s="67">
        <f t="shared" si="2"/>
        <v>7</v>
      </c>
      <c r="P50" s="67">
        <f>IF(B50="", 0, IFERROR(MIN(C50+D50, VLOOKUP(B50, '💳 Debt Input'!$A:$G, 4, FALSE)), 0))</f>
        <v>40</v>
      </c>
      <c r="Q50" s="67"/>
    </row>
    <row r="51" spans="1:17" ht="18" customHeight="1" x14ac:dyDescent="0.35">
      <c r="A51" s="19"/>
      <c r="B51" s="8" t="str">
        <f>'💳 Debt Input'!$A$5</f>
        <v>Medical Bill</v>
      </c>
      <c r="C51" s="10">
        <f t="shared" si="3"/>
        <v>358.83</v>
      </c>
      <c r="D51" s="10">
        <f>ROUND(C51*'💳 Debt Input'!$C$5/12,2)</f>
        <v>1.2</v>
      </c>
      <c r="E51" s="10">
        <f>IF(B51="", "", MIN(C51+D51, MAX(P51, $F$3 - SUMIFS(E$10:E50, O$10:O50, O51) - SUMIFS(P52:P$1995, O52:O$1995, O51))))</f>
        <v>25</v>
      </c>
      <c r="F51" s="10">
        <f t="shared" si="0"/>
        <v>335.03</v>
      </c>
      <c r="G51" s="19" t="str">
        <f t="shared" si="1"/>
        <v>Active</v>
      </c>
      <c r="H51" s="20"/>
      <c r="J51" s="67">
        <v>43</v>
      </c>
      <c r="K51" s="67">
        <f>SUM(F263:F268)</f>
        <v>9843.3100000000013</v>
      </c>
      <c r="L51" s="67">
        <f>SUM(D263:D268)</f>
        <v>298.93</v>
      </c>
      <c r="M51" s="67">
        <f>F268</f>
        <v>0</v>
      </c>
      <c r="N51" s="67"/>
      <c r="O51" s="67">
        <f t="shared" si="2"/>
        <v>7</v>
      </c>
      <c r="P51" s="67">
        <f>IF(B51="", 0, IFERROR(MIN(C51+D51, VLOOKUP(B51, '💳 Debt Input'!$A:$G, 4, FALSE)), 0))</f>
        <v>25</v>
      </c>
      <c r="Q51" s="67"/>
    </row>
    <row r="52" spans="1:17" ht="18" customHeight="1" x14ac:dyDescent="0.35">
      <c r="A52" s="19"/>
      <c r="B52" s="8" t="str">
        <f>'💳 Debt Input'!$A$4</f>
        <v>Store Card</v>
      </c>
      <c r="C52" s="10">
        <f t="shared" si="3"/>
        <v>52.08</v>
      </c>
      <c r="D52" s="10">
        <f>ROUND(C52*'💳 Debt Input'!$C$4/12,2)</f>
        <v>0.13</v>
      </c>
      <c r="E52" s="10">
        <f>IF(B52="", "", MIN(C52+D52, MAX(P52, $F$3 - SUMIFS(E$10:E51, O$10:O51, O52) - SUMIFS(P53:P$1995, O53:O$1995, O52))))</f>
        <v>25</v>
      </c>
      <c r="F52" s="10">
        <f t="shared" si="0"/>
        <v>27.21</v>
      </c>
      <c r="G52" s="19" t="str">
        <f t="shared" si="1"/>
        <v>Active</v>
      </c>
      <c r="H52" s="20"/>
      <c r="J52" s="67">
        <v>44</v>
      </c>
      <c r="K52" s="67">
        <f>SUM(F269:F274)</f>
        <v>9114.6899999999987</v>
      </c>
      <c r="L52" s="67">
        <f>SUM(D269:D274)</f>
        <v>281.38</v>
      </c>
      <c r="M52" s="67">
        <f>F274</f>
        <v>0</v>
      </c>
      <c r="N52" s="67"/>
      <c r="O52" s="67">
        <f t="shared" si="2"/>
        <v>7</v>
      </c>
      <c r="P52" s="67">
        <f>IF(B52="", 0, IFERROR(MIN(C52+D52, VLOOKUP(B52, '💳 Debt Input'!$A:$G, 4, FALSE)), 0))</f>
        <v>25</v>
      </c>
      <c r="Q52" s="67"/>
    </row>
    <row r="53" spans="1:17" ht="18" customHeight="1" x14ac:dyDescent="0.35">
      <c r="A53" s="21">
        <v>8</v>
      </c>
      <c r="B53" s="6" t="str">
        <f>'💳 Debt Input'!$A$9</f>
        <v>Rewards Visa</v>
      </c>
      <c r="C53" s="12">
        <f t="shared" si="3"/>
        <v>15616.88</v>
      </c>
      <c r="D53" s="12">
        <f>ROUND(C53*'💳 Debt Input'!$C$9/12,2)</f>
        <v>468.51</v>
      </c>
      <c r="E53" s="12">
        <f>IF(B53="", "", MIN(C53+D53, MAX(P53, $F$3 - SUMIFS(E$10:E52, O$10:O52, O53) - SUMIFS(P54:P$1995, O54:O$1995, O53))))</f>
        <v>530</v>
      </c>
      <c r="F53" s="12">
        <f t="shared" si="0"/>
        <v>15555.39</v>
      </c>
      <c r="G53" s="22" t="str">
        <f t="shared" si="1"/>
        <v>Active</v>
      </c>
      <c r="H53" s="23"/>
      <c r="J53" s="67">
        <v>45</v>
      </c>
      <c r="K53" s="67">
        <f>SUM(F275:F280)</f>
        <v>8368.0500000000011</v>
      </c>
      <c r="L53" s="67">
        <f>SUM(D275:D280)</f>
        <v>263.36</v>
      </c>
      <c r="M53" s="67">
        <f>F280</f>
        <v>0</v>
      </c>
      <c r="N53" s="67"/>
      <c r="O53" s="67">
        <f t="shared" si="2"/>
        <v>8</v>
      </c>
      <c r="P53" s="67">
        <f>IF(B53="", 0, IFERROR(MIN(C53+D53, VLOOKUP(B53, '💳 Debt Input'!$A:$G, 4, FALSE)), 0))</f>
        <v>480</v>
      </c>
      <c r="Q53" s="67"/>
    </row>
    <row r="54" spans="1:17" ht="18" customHeight="1" x14ac:dyDescent="0.35">
      <c r="A54" s="22"/>
      <c r="B54" s="6" t="str">
        <f>'💳 Debt Input'!$A$8</f>
        <v>Travel Card</v>
      </c>
      <c r="C54" s="12">
        <f t="shared" si="3"/>
        <v>8011.41</v>
      </c>
      <c r="D54" s="12">
        <f>ROUND(C54*'💳 Debt Input'!$C$8/12,2)</f>
        <v>120.17</v>
      </c>
      <c r="E54" s="12">
        <f>IF(B54="", "", MIN(C54+D54, MAX(P54, $F$3 - SUMIFS(E$10:E53, O$10:O53, O54) - SUMIFS(P55:P$1995, O55:O$1995, O54))))</f>
        <v>270</v>
      </c>
      <c r="F54" s="12">
        <f t="shared" si="0"/>
        <v>7861.58</v>
      </c>
      <c r="G54" s="22" t="str">
        <f t="shared" si="1"/>
        <v>Active</v>
      </c>
      <c r="H54" s="23"/>
      <c r="J54" s="67">
        <v>46</v>
      </c>
      <c r="K54" s="67">
        <f>SUM(F281:F286)</f>
        <v>7602.91</v>
      </c>
      <c r="L54" s="67">
        <f>SUM(D281:D286)</f>
        <v>244.86</v>
      </c>
      <c r="M54" s="67">
        <f>F286</f>
        <v>0</v>
      </c>
      <c r="N54" s="67"/>
      <c r="O54" s="67">
        <f t="shared" si="2"/>
        <v>8</v>
      </c>
      <c r="P54" s="67">
        <f>IF(B54="", 0, IFERROR(MIN(C54+D54, VLOOKUP(B54, '💳 Debt Input'!$A:$G, 4, FALSE)), 0))</f>
        <v>270</v>
      </c>
      <c r="Q54" s="67"/>
    </row>
    <row r="55" spans="1:17" ht="18" customHeight="1" x14ac:dyDescent="0.35">
      <c r="A55" s="22"/>
      <c r="B55" s="6" t="str">
        <f>'💳 Debt Input'!$A$7</f>
        <v>Auto Loan</v>
      </c>
      <c r="C55" s="12">
        <f t="shared" si="3"/>
        <v>3377.95</v>
      </c>
      <c r="D55" s="12">
        <f>ROUND(C55*'💳 Debt Input'!$C$7/12,2)</f>
        <v>28.15</v>
      </c>
      <c r="E55" s="12">
        <f>IF(B55="", "", MIN(C55+D55, MAX(P55, $F$3 - SUMIFS(E$10:E54, O$10:O54, O55) - SUMIFS(P56:P$1995, O56:O$1995, O55))))</f>
        <v>120</v>
      </c>
      <c r="F55" s="12">
        <f t="shared" si="0"/>
        <v>3286.1</v>
      </c>
      <c r="G55" s="22" t="str">
        <f t="shared" si="1"/>
        <v>Active</v>
      </c>
      <c r="H55" s="23"/>
      <c r="J55" s="67">
        <v>47</v>
      </c>
      <c r="K55" s="67">
        <f>SUM(F287:F292)</f>
        <v>6818.77</v>
      </c>
      <c r="L55" s="67">
        <f>SUM(D287:D292)</f>
        <v>225.85999999999999</v>
      </c>
      <c r="M55" s="67">
        <f>F292</f>
        <v>0</v>
      </c>
      <c r="N55" s="67"/>
      <c r="O55" s="67">
        <f t="shared" si="2"/>
        <v>8</v>
      </c>
      <c r="P55" s="67">
        <f>IF(B55="", 0, IFERROR(MIN(C55+D55, VLOOKUP(B55, '💳 Debt Input'!$A:$G, 4, FALSE)), 0))</f>
        <v>120</v>
      </c>
      <c r="Q55" s="67"/>
    </row>
    <row r="56" spans="1:17" ht="18" customHeight="1" x14ac:dyDescent="0.35">
      <c r="A56" s="22"/>
      <c r="B56" s="6" t="str">
        <f>'💳 Debt Input'!$A$6</f>
        <v>Personal Loan</v>
      </c>
      <c r="C56" s="12">
        <f t="shared" si="3"/>
        <v>1269.06</v>
      </c>
      <c r="D56" s="12">
        <f>ROUND(C56*'💳 Debt Input'!$C$6/12,2)</f>
        <v>6.35</v>
      </c>
      <c r="E56" s="12">
        <f>IF(B56="", "", MIN(C56+D56, MAX(P56, $F$3 - SUMIFS(E$10:E55, O$10:O55, O56) - SUMIFS(P57:P$1995, O57:O$1995, O56))))</f>
        <v>40</v>
      </c>
      <c r="F56" s="12">
        <f t="shared" si="0"/>
        <v>1235.4100000000001</v>
      </c>
      <c r="G56" s="22" t="str">
        <f t="shared" si="1"/>
        <v>Active</v>
      </c>
      <c r="H56" s="23"/>
      <c r="J56" s="67">
        <v>48</v>
      </c>
      <c r="K56" s="67">
        <f>SUM(F293:F298)</f>
        <v>6013.33</v>
      </c>
      <c r="L56" s="67">
        <f>SUM(D293:D298)</f>
        <v>204.56</v>
      </c>
      <c r="M56" s="67">
        <f>F298</f>
        <v>0</v>
      </c>
      <c r="N56" s="67"/>
      <c r="O56" s="67">
        <f t="shared" si="2"/>
        <v>8</v>
      </c>
      <c r="P56" s="67">
        <f>IF(B56="", 0, IFERROR(MIN(C56+D56, VLOOKUP(B56, '💳 Debt Input'!$A:$G, 4, FALSE)), 0))</f>
        <v>40</v>
      </c>
      <c r="Q56" s="67"/>
    </row>
    <row r="57" spans="1:17" ht="18" customHeight="1" x14ac:dyDescent="0.35">
      <c r="A57" s="22"/>
      <c r="B57" s="6" t="str">
        <f>'💳 Debt Input'!$A$5</f>
        <v>Medical Bill</v>
      </c>
      <c r="C57" s="12">
        <f t="shared" si="3"/>
        <v>335.03</v>
      </c>
      <c r="D57" s="12">
        <f>ROUND(C57*'💳 Debt Input'!$C$5/12,2)</f>
        <v>1.1200000000000001</v>
      </c>
      <c r="E57" s="12">
        <f>IF(B57="", "", MIN(C57+D57, MAX(P57, $F$3 - SUMIFS(E$10:E56, O$10:O56, O57) - SUMIFS(P58:P$1995, O58:O$1995, O57))))</f>
        <v>25</v>
      </c>
      <c r="F57" s="12">
        <f t="shared" si="0"/>
        <v>311.14999999999998</v>
      </c>
      <c r="G57" s="22" t="str">
        <f t="shared" si="1"/>
        <v>Active</v>
      </c>
      <c r="H57" s="23"/>
      <c r="J57" s="67">
        <v>49</v>
      </c>
      <c r="K57" s="67">
        <f>SUM(F299:F304)</f>
        <v>5183.7299999999996</v>
      </c>
      <c r="L57" s="67">
        <f>SUM(D299:D304)</f>
        <v>180.4</v>
      </c>
      <c r="M57" s="67">
        <f>F304</f>
        <v>0</v>
      </c>
      <c r="N57" s="67"/>
      <c r="O57" s="67">
        <f t="shared" si="2"/>
        <v>8</v>
      </c>
      <c r="P57" s="67">
        <f>IF(B57="", 0, IFERROR(MIN(C57+D57, VLOOKUP(B57, '💳 Debt Input'!$A:$G, 4, FALSE)), 0))</f>
        <v>25</v>
      </c>
      <c r="Q57" s="67"/>
    </row>
    <row r="58" spans="1:17" ht="18" customHeight="1" x14ac:dyDescent="0.35">
      <c r="A58" s="22"/>
      <c r="B58" s="6" t="str">
        <f>'💳 Debt Input'!$A$4</f>
        <v>Store Card</v>
      </c>
      <c r="C58" s="12">
        <f t="shared" si="3"/>
        <v>27.21</v>
      </c>
      <c r="D58" s="12">
        <f>ROUND(C58*'💳 Debt Input'!$C$4/12,2)</f>
        <v>7.0000000000000007E-2</v>
      </c>
      <c r="E58" s="12">
        <f>IF(B58="", "", MIN(C58+D58, MAX(P58, $F$3 - SUMIFS(E$10:E57, O$10:O57, O58) - SUMIFS(P59:P$1995, O59:O$1995, O58))))</f>
        <v>25</v>
      </c>
      <c r="F58" s="12">
        <f t="shared" si="0"/>
        <v>2.2799999999999998</v>
      </c>
      <c r="G58" s="22" t="str">
        <f t="shared" si="1"/>
        <v>Active</v>
      </c>
      <c r="H58" s="23"/>
      <c r="J58" s="67">
        <v>50</v>
      </c>
      <c r="K58" s="67">
        <f>SUM(F305:F310)</f>
        <v>4329.24</v>
      </c>
      <c r="L58" s="67">
        <f>SUM(D305:D310)</f>
        <v>155.51</v>
      </c>
      <c r="M58" s="67">
        <f>F310</f>
        <v>0</v>
      </c>
      <c r="N58" s="67"/>
      <c r="O58" s="67">
        <f t="shared" si="2"/>
        <v>8</v>
      </c>
      <c r="P58" s="67">
        <f>IF(B58="", 0, IFERROR(MIN(C58+D58, VLOOKUP(B58, '💳 Debt Input'!$A:$G, 4, FALSE)), 0))</f>
        <v>25</v>
      </c>
      <c r="Q58" s="67"/>
    </row>
    <row r="59" spans="1:17" ht="18" customHeight="1" x14ac:dyDescent="0.35">
      <c r="A59" s="24">
        <v>9</v>
      </c>
      <c r="B59" s="8" t="str">
        <f>'💳 Debt Input'!$A$9</f>
        <v>Rewards Visa</v>
      </c>
      <c r="C59" s="10">
        <f t="shared" si="3"/>
        <v>15555.39</v>
      </c>
      <c r="D59" s="10">
        <f>ROUND(C59*'💳 Debt Input'!$C$9/12,2)</f>
        <v>466.66</v>
      </c>
      <c r="E59" s="10">
        <f>IF(B59="", "", MIN(C59+D59, MAX(P59, $F$3 - SUMIFS(E$10:E58, O$10:O58, O59) - SUMIFS(P60:P$1995, O60:O$1995, O59))))</f>
        <v>552.71</v>
      </c>
      <c r="F59" s="10">
        <f t="shared" si="0"/>
        <v>15469.34</v>
      </c>
      <c r="G59" s="19" t="str">
        <f t="shared" si="1"/>
        <v>Active</v>
      </c>
      <c r="H59" s="20"/>
      <c r="J59" s="67">
        <v>51</v>
      </c>
      <c r="K59" s="67">
        <f>SUM(F311:F316)</f>
        <v>3449.12</v>
      </c>
      <c r="L59" s="67">
        <f>SUM(D311:D316)</f>
        <v>129.88</v>
      </c>
      <c r="M59" s="67">
        <f>F316</f>
        <v>0</v>
      </c>
      <c r="N59" s="67"/>
      <c r="O59" s="67">
        <f t="shared" si="2"/>
        <v>9</v>
      </c>
      <c r="P59" s="67">
        <f>IF(B59="", 0, IFERROR(MIN(C59+D59, VLOOKUP(B59, '💳 Debt Input'!$A:$G, 4, FALSE)), 0))</f>
        <v>480</v>
      </c>
      <c r="Q59" s="67"/>
    </row>
    <row r="60" spans="1:17" ht="18" customHeight="1" x14ac:dyDescent="0.35">
      <c r="A60" s="19"/>
      <c r="B60" s="8" t="str">
        <f>'💳 Debt Input'!$A$8</f>
        <v>Travel Card</v>
      </c>
      <c r="C60" s="10">
        <f t="shared" si="3"/>
        <v>7861.58</v>
      </c>
      <c r="D60" s="10">
        <f>ROUND(C60*'💳 Debt Input'!$C$8/12,2)</f>
        <v>117.92</v>
      </c>
      <c r="E60" s="10">
        <f>IF(B60="", "", MIN(C60+D60, MAX(P60, $F$3 - SUMIFS(E$10:E59, O$10:O59, O60) - SUMIFS(P61:P$1995, O61:O$1995, O60))))</f>
        <v>270</v>
      </c>
      <c r="F60" s="10">
        <f t="shared" si="0"/>
        <v>7709.5</v>
      </c>
      <c r="G60" s="19" t="str">
        <f t="shared" si="1"/>
        <v>Active</v>
      </c>
      <c r="H60" s="20"/>
      <c r="J60" s="67">
        <v>52</v>
      </c>
      <c r="K60" s="67">
        <f>SUM(F317:F322)</f>
        <v>2542.59</v>
      </c>
      <c r="L60" s="67">
        <f>SUM(D317:D322)</f>
        <v>103.47</v>
      </c>
      <c r="M60" s="67">
        <f>F322</f>
        <v>0</v>
      </c>
      <c r="N60" s="67"/>
      <c r="O60" s="67">
        <f t="shared" si="2"/>
        <v>9</v>
      </c>
      <c r="P60" s="67">
        <f>IF(B60="", 0, IFERROR(MIN(C60+D60, VLOOKUP(B60, '💳 Debt Input'!$A:$G, 4, FALSE)), 0))</f>
        <v>270</v>
      </c>
      <c r="Q60" s="67"/>
    </row>
    <row r="61" spans="1:17" ht="18" customHeight="1" x14ac:dyDescent="0.35">
      <c r="A61" s="19"/>
      <c r="B61" s="8" t="str">
        <f>'💳 Debt Input'!$A$7</f>
        <v>Auto Loan</v>
      </c>
      <c r="C61" s="10">
        <f t="shared" si="3"/>
        <v>3286.1</v>
      </c>
      <c r="D61" s="10">
        <f>ROUND(C61*'💳 Debt Input'!$C$7/12,2)</f>
        <v>27.38</v>
      </c>
      <c r="E61" s="10">
        <f>IF(B61="", "", MIN(C61+D61, MAX(P61, $F$3 - SUMIFS(E$10:E60, O$10:O60, O61) - SUMIFS(P62:P$1995, O62:O$1995, O61))))</f>
        <v>120</v>
      </c>
      <c r="F61" s="10">
        <f t="shared" si="0"/>
        <v>3193.48</v>
      </c>
      <c r="G61" s="19" t="str">
        <f t="shared" si="1"/>
        <v>Active</v>
      </c>
      <c r="H61" s="20"/>
      <c r="J61" s="67">
        <v>53</v>
      </c>
      <c r="K61" s="67">
        <f>SUM(F323:F328)</f>
        <v>1608.87</v>
      </c>
      <c r="L61" s="67">
        <f>SUM(D323:D328)</f>
        <v>76.28</v>
      </c>
      <c r="M61" s="67">
        <f>F328</f>
        <v>0</v>
      </c>
      <c r="N61" s="67"/>
      <c r="O61" s="67">
        <f t="shared" si="2"/>
        <v>9</v>
      </c>
      <c r="P61" s="67">
        <f>IF(B61="", 0, IFERROR(MIN(C61+D61, VLOOKUP(B61, '💳 Debt Input'!$A:$G, 4, FALSE)), 0))</f>
        <v>120</v>
      </c>
      <c r="Q61" s="67"/>
    </row>
    <row r="62" spans="1:17" ht="18" customHeight="1" x14ac:dyDescent="0.35">
      <c r="A62" s="19"/>
      <c r="B62" s="8" t="str">
        <f>'💳 Debt Input'!$A$6</f>
        <v>Personal Loan</v>
      </c>
      <c r="C62" s="10">
        <f t="shared" si="3"/>
        <v>1235.4100000000001</v>
      </c>
      <c r="D62" s="10">
        <f>ROUND(C62*'💳 Debt Input'!$C$6/12,2)</f>
        <v>6.18</v>
      </c>
      <c r="E62" s="10">
        <f>IF(B62="", "", MIN(C62+D62, MAX(P62, $F$3 - SUMIFS(E$10:E61, O$10:O61, O62) - SUMIFS(P63:P$1995, O63:O$1995, O62))))</f>
        <v>40</v>
      </c>
      <c r="F62" s="10">
        <f t="shared" si="0"/>
        <v>1201.5899999999999</v>
      </c>
      <c r="G62" s="19" t="str">
        <f t="shared" si="1"/>
        <v>Active</v>
      </c>
      <c r="H62" s="20"/>
      <c r="J62" s="67">
        <v>54</v>
      </c>
      <c r="K62" s="67">
        <f>SUM(F329:F334)</f>
        <v>647.14</v>
      </c>
      <c r="L62" s="67">
        <f>SUM(D329:D334)</f>
        <v>48.27</v>
      </c>
      <c r="M62" s="67">
        <f>F334</f>
        <v>0</v>
      </c>
      <c r="N62" s="67"/>
      <c r="O62" s="67">
        <f t="shared" si="2"/>
        <v>9</v>
      </c>
      <c r="P62" s="67">
        <f>IF(B62="", 0, IFERROR(MIN(C62+D62, VLOOKUP(B62, '💳 Debt Input'!$A:$G, 4, FALSE)), 0))</f>
        <v>40</v>
      </c>
      <c r="Q62" s="67"/>
    </row>
    <row r="63" spans="1:17" ht="18" customHeight="1" x14ac:dyDescent="0.35">
      <c r="A63" s="19"/>
      <c r="B63" s="8" t="str">
        <f>'💳 Debt Input'!$A$5</f>
        <v>Medical Bill</v>
      </c>
      <c r="C63" s="10">
        <f t="shared" si="3"/>
        <v>311.14999999999998</v>
      </c>
      <c r="D63" s="10">
        <f>ROUND(C63*'💳 Debt Input'!$C$5/12,2)</f>
        <v>1.04</v>
      </c>
      <c r="E63" s="10">
        <f>IF(B63="", "", MIN(C63+D63, MAX(P63, $F$3 - SUMIFS(E$10:E62, O$10:O62, O63) - SUMIFS(P64:P$1995, O64:O$1995, O63))))</f>
        <v>25</v>
      </c>
      <c r="F63" s="10">
        <f t="shared" si="0"/>
        <v>287.19</v>
      </c>
      <c r="G63" s="19" t="str">
        <f t="shared" si="1"/>
        <v>Active</v>
      </c>
      <c r="H63" s="20"/>
      <c r="J63" s="67">
        <v>55</v>
      </c>
      <c r="K63" s="67">
        <f>SUM(F335:F340)</f>
        <v>0</v>
      </c>
      <c r="L63" s="67">
        <f>SUM(D335:D340)</f>
        <v>19.41</v>
      </c>
      <c r="M63" s="67">
        <f>F340</f>
        <v>0</v>
      </c>
      <c r="N63" s="67"/>
      <c r="O63" s="67">
        <f t="shared" si="2"/>
        <v>9</v>
      </c>
      <c r="P63" s="67">
        <f>IF(B63="", 0, IFERROR(MIN(C63+D63, VLOOKUP(B63, '💳 Debt Input'!$A:$G, 4, FALSE)), 0))</f>
        <v>25</v>
      </c>
      <c r="Q63" s="67"/>
    </row>
    <row r="64" spans="1:17" ht="18" customHeight="1" x14ac:dyDescent="0.35">
      <c r="A64" s="28"/>
      <c r="B64" s="26" t="str">
        <f>'💳 Debt Input'!$A$4</f>
        <v>Store Card</v>
      </c>
      <c r="C64" s="27">
        <f t="shared" si="3"/>
        <v>2.2799999999999998</v>
      </c>
      <c r="D64" s="27">
        <f>ROUND(C64*'💳 Debt Input'!$C$4/12,2)</f>
        <v>0.01</v>
      </c>
      <c r="E64" s="27">
        <f>IF(B64="", "", MIN(C64+D64, MAX(P64, $F$3 - SUMIFS(E$10:E63, O$10:O63, O64) - SUMIFS(P65:P$1995, O65:O$1995, O64))))</f>
        <v>2.2899999999999996</v>
      </c>
      <c r="F64" s="27">
        <f t="shared" si="0"/>
        <v>0</v>
      </c>
      <c r="G64" s="28" t="str">
        <f t="shared" si="1"/>
        <v>Paid off</v>
      </c>
      <c r="H64" s="26"/>
      <c r="J64" s="67">
        <v>56</v>
      </c>
      <c r="K64" s="67">
        <f>SUM(F341:F346)</f>
        <v>0</v>
      </c>
      <c r="L64" s="67">
        <f>SUM(D341:D346)</f>
        <v>0</v>
      </c>
      <c r="M64" s="67">
        <f>F346</f>
        <v>0</v>
      </c>
      <c r="N64" s="67"/>
      <c r="O64" s="67">
        <f t="shared" si="2"/>
        <v>9</v>
      </c>
      <c r="P64" s="67">
        <f>IF(B64="", 0, IFERROR(MIN(C64+D64, VLOOKUP(B64, '💳 Debt Input'!$A:$G, 4, FALSE)), 0))</f>
        <v>2.2899999999999996</v>
      </c>
      <c r="Q64" s="67"/>
    </row>
    <row r="65" spans="1:17" ht="18" customHeight="1" x14ac:dyDescent="0.35">
      <c r="A65" s="21">
        <v>10</v>
      </c>
      <c r="B65" s="6" t="str">
        <f>'💳 Debt Input'!$A$9</f>
        <v>Rewards Visa</v>
      </c>
      <c r="C65" s="12">
        <f t="shared" si="3"/>
        <v>15469.34</v>
      </c>
      <c r="D65" s="12">
        <f>ROUND(C65*'💳 Debt Input'!$C$9/12,2)</f>
        <v>464.08</v>
      </c>
      <c r="E65" s="12">
        <f>IF(B65="", "", MIN(C65+D65, MAX(P65, $F$3 - SUMIFS(E$10:E64, O$10:O64, O65) - SUMIFS(P66:P$1995, O66:O$1995, O65))))</f>
        <v>555</v>
      </c>
      <c r="F65" s="12">
        <f t="shared" si="0"/>
        <v>15378.42</v>
      </c>
      <c r="G65" s="22" t="str">
        <f t="shared" si="1"/>
        <v>Active</v>
      </c>
      <c r="H65" s="23"/>
      <c r="J65" s="67">
        <v>57</v>
      </c>
      <c r="K65" s="67">
        <f>SUM(F347:F352)</f>
        <v>0</v>
      </c>
      <c r="L65" s="67">
        <f>SUM(D347:D352)</f>
        <v>0</v>
      </c>
      <c r="M65" s="67">
        <f>F352</f>
        <v>0</v>
      </c>
      <c r="N65" s="67"/>
      <c r="O65" s="67">
        <f t="shared" si="2"/>
        <v>10</v>
      </c>
      <c r="P65" s="67">
        <f>IF(B65="", 0, IFERROR(MIN(C65+D65, VLOOKUP(B65, '💳 Debt Input'!$A:$G, 4, FALSE)), 0))</f>
        <v>480</v>
      </c>
      <c r="Q65" s="67"/>
    </row>
    <row r="66" spans="1:17" ht="18" customHeight="1" x14ac:dyDescent="0.35">
      <c r="A66" s="22"/>
      <c r="B66" s="6" t="str">
        <f>'💳 Debt Input'!$A$8</f>
        <v>Travel Card</v>
      </c>
      <c r="C66" s="12">
        <f t="shared" si="3"/>
        <v>7709.5</v>
      </c>
      <c r="D66" s="12">
        <f>ROUND(C66*'💳 Debt Input'!$C$8/12,2)</f>
        <v>115.64</v>
      </c>
      <c r="E66" s="12">
        <f>IF(B66="", "", MIN(C66+D66, MAX(P66, $F$3 - SUMIFS(E$10:E65, O$10:O65, O66) - SUMIFS(P67:P$1995, O67:O$1995, O66))))</f>
        <v>270</v>
      </c>
      <c r="F66" s="12">
        <f t="shared" si="0"/>
        <v>7555.14</v>
      </c>
      <c r="G66" s="22" t="str">
        <f t="shared" si="1"/>
        <v>Active</v>
      </c>
      <c r="H66" s="23"/>
      <c r="J66" s="67">
        <v>58</v>
      </c>
      <c r="K66" s="67">
        <f>SUM(F353:F358)</f>
        <v>0</v>
      </c>
      <c r="L66" s="67">
        <f>SUM(D353:D358)</f>
        <v>0</v>
      </c>
      <c r="M66" s="67">
        <f>F358</f>
        <v>0</v>
      </c>
      <c r="N66" s="67"/>
      <c r="O66" s="67">
        <f t="shared" si="2"/>
        <v>10</v>
      </c>
      <c r="P66" s="67">
        <f>IF(B66="", 0, IFERROR(MIN(C66+D66, VLOOKUP(B66, '💳 Debt Input'!$A:$G, 4, FALSE)), 0))</f>
        <v>270</v>
      </c>
      <c r="Q66" s="67"/>
    </row>
    <row r="67" spans="1:17" ht="18" customHeight="1" x14ac:dyDescent="0.35">
      <c r="A67" s="22"/>
      <c r="B67" s="6" t="str">
        <f>'💳 Debt Input'!$A$7</f>
        <v>Auto Loan</v>
      </c>
      <c r="C67" s="12">
        <f t="shared" si="3"/>
        <v>3193.48</v>
      </c>
      <c r="D67" s="12">
        <f>ROUND(C67*'💳 Debt Input'!$C$7/12,2)</f>
        <v>26.61</v>
      </c>
      <c r="E67" s="12">
        <f>IF(B67="", "", MIN(C67+D67, MAX(P67, $F$3 - SUMIFS(E$10:E66, O$10:O66, O67) - SUMIFS(P68:P$1995, O68:O$1995, O67))))</f>
        <v>120</v>
      </c>
      <c r="F67" s="12">
        <f t="shared" si="0"/>
        <v>3100.09</v>
      </c>
      <c r="G67" s="22" t="str">
        <f t="shared" si="1"/>
        <v>Active</v>
      </c>
      <c r="H67" s="23"/>
      <c r="J67" s="67">
        <v>59</v>
      </c>
      <c r="K67" s="67">
        <f>SUM(F359:F364)</f>
        <v>0</v>
      </c>
      <c r="L67" s="67">
        <f>SUM(D359:D364)</f>
        <v>0</v>
      </c>
      <c r="M67" s="67">
        <f>F364</f>
        <v>0</v>
      </c>
      <c r="N67" s="67"/>
      <c r="O67" s="67">
        <f t="shared" si="2"/>
        <v>10</v>
      </c>
      <c r="P67" s="67">
        <f>IF(B67="", 0, IFERROR(MIN(C67+D67, VLOOKUP(B67, '💳 Debt Input'!$A:$G, 4, FALSE)), 0))</f>
        <v>120</v>
      </c>
      <c r="Q67" s="67"/>
    </row>
    <row r="68" spans="1:17" ht="18" customHeight="1" x14ac:dyDescent="0.35">
      <c r="A68" s="22"/>
      <c r="B68" s="6" t="str">
        <f>'💳 Debt Input'!$A$6</f>
        <v>Personal Loan</v>
      </c>
      <c r="C68" s="12">
        <f t="shared" si="3"/>
        <v>1201.5899999999999</v>
      </c>
      <c r="D68" s="12">
        <f>ROUND(C68*'💳 Debt Input'!$C$6/12,2)</f>
        <v>6.01</v>
      </c>
      <c r="E68" s="12">
        <f>IF(B68="", "", MIN(C68+D68, MAX(P68, $F$3 - SUMIFS(E$10:E67, O$10:O67, O68) - SUMIFS(P69:P$1995, O69:O$1995, O68))))</f>
        <v>40</v>
      </c>
      <c r="F68" s="12">
        <f t="shared" si="0"/>
        <v>1167.5999999999999</v>
      </c>
      <c r="G68" s="22" t="str">
        <f t="shared" si="1"/>
        <v>Active</v>
      </c>
      <c r="H68" s="23"/>
      <c r="J68" s="67">
        <v>60</v>
      </c>
      <c r="K68" s="67">
        <f>SUM(F365:F370)</f>
        <v>0</v>
      </c>
      <c r="L68" s="67">
        <f>SUM(D365:D370)</f>
        <v>0</v>
      </c>
      <c r="M68" s="67">
        <f>F370</f>
        <v>0</v>
      </c>
      <c r="N68" s="67"/>
      <c r="O68" s="67">
        <f t="shared" si="2"/>
        <v>10</v>
      </c>
      <c r="P68" s="67">
        <f>IF(B68="", 0, IFERROR(MIN(C68+D68, VLOOKUP(B68, '💳 Debt Input'!$A:$G, 4, FALSE)), 0))</f>
        <v>40</v>
      </c>
      <c r="Q68" s="67"/>
    </row>
    <row r="69" spans="1:17" ht="18" customHeight="1" x14ac:dyDescent="0.35">
      <c r="A69" s="22"/>
      <c r="B69" s="6" t="str">
        <f>'💳 Debt Input'!$A$5</f>
        <v>Medical Bill</v>
      </c>
      <c r="C69" s="12">
        <f t="shared" si="3"/>
        <v>287.19</v>
      </c>
      <c r="D69" s="12">
        <f>ROUND(C69*'💳 Debt Input'!$C$5/12,2)</f>
        <v>0.96</v>
      </c>
      <c r="E69" s="12">
        <f>IF(B69="", "", MIN(C69+D69, MAX(P69, $F$3 - SUMIFS(E$10:E68, O$10:O68, O69) - SUMIFS(P70:P$1995, O70:O$1995, O69))))</f>
        <v>25</v>
      </c>
      <c r="F69" s="12">
        <f t="shared" si="0"/>
        <v>263.14999999999998</v>
      </c>
      <c r="G69" s="22" t="str">
        <f t="shared" si="1"/>
        <v>Active</v>
      </c>
      <c r="H69" s="23"/>
      <c r="J69" s="67">
        <v>61</v>
      </c>
      <c r="K69" s="67">
        <f>SUM(F371:F376)</f>
        <v>0</v>
      </c>
      <c r="L69" s="67">
        <f>SUM(D371:D376)</f>
        <v>0</v>
      </c>
      <c r="M69" s="67">
        <f>F376</f>
        <v>0</v>
      </c>
      <c r="N69" s="67"/>
      <c r="O69" s="67">
        <f t="shared" si="2"/>
        <v>10</v>
      </c>
      <c r="P69" s="67">
        <f>IF(B69="", 0, IFERROR(MIN(C69+D69, VLOOKUP(B69, '💳 Debt Input'!$A:$G, 4, FALSE)), 0))</f>
        <v>25</v>
      </c>
      <c r="Q69" s="67"/>
    </row>
    <row r="70" spans="1:17" ht="18" customHeight="1" x14ac:dyDescent="0.35">
      <c r="A70" s="28"/>
      <c r="B70" s="26" t="str">
        <f>'💳 Debt Input'!$A$4</f>
        <v>Store Card</v>
      </c>
      <c r="C70" s="27">
        <f t="shared" si="3"/>
        <v>0</v>
      </c>
      <c r="D70" s="27">
        <f>ROUND(C70*'💳 Debt Input'!$C$4/12,2)</f>
        <v>0</v>
      </c>
      <c r="E70" s="27">
        <f>IF(B70="", "", MIN(C70+D70, MAX(P70, $F$3 - SUMIFS(E$10:E69, O$10:O69, O70) - SUMIFS(P71:P$1995, O71:O$1995, O70))))</f>
        <v>0</v>
      </c>
      <c r="F70" s="27">
        <f t="shared" si="0"/>
        <v>0</v>
      </c>
      <c r="G70" s="28" t="str">
        <f t="shared" si="1"/>
        <v>Paid off</v>
      </c>
      <c r="H70" s="29"/>
      <c r="J70" s="67">
        <v>62</v>
      </c>
      <c r="K70" s="67">
        <f>SUM(F377:F382)</f>
        <v>0</v>
      </c>
      <c r="L70" s="67">
        <f>SUM(D377:D382)</f>
        <v>0</v>
      </c>
      <c r="M70" s="67">
        <f>F382</f>
        <v>0</v>
      </c>
      <c r="N70" s="67"/>
      <c r="O70" s="67">
        <f t="shared" si="2"/>
        <v>10</v>
      </c>
      <c r="P70" s="67">
        <f>IF(B70="", 0, IFERROR(MIN(C70+D70, VLOOKUP(B70, '💳 Debt Input'!$A:$G, 4, FALSE)), 0))</f>
        <v>0</v>
      </c>
      <c r="Q70" s="67"/>
    </row>
    <row r="71" spans="1:17" ht="18" customHeight="1" x14ac:dyDescent="0.35">
      <c r="A71" s="24">
        <v>11</v>
      </c>
      <c r="B71" s="8" t="str">
        <f>'💳 Debt Input'!$A$9</f>
        <v>Rewards Visa</v>
      </c>
      <c r="C71" s="10">
        <f t="shared" si="3"/>
        <v>15378.42</v>
      </c>
      <c r="D71" s="10">
        <f>ROUND(C71*'💳 Debt Input'!$C$9/12,2)</f>
        <v>461.35</v>
      </c>
      <c r="E71" s="10">
        <f>IF(B71="", "", MIN(C71+D71, MAX(P71, $F$3 - SUMIFS(E$10:E70, O$10:O70, O71) - SUMIFS(P72:P$1995, O72:O$1995, O71))))</f>
        <v>555</v>
      </c>
      <c r="F71" s="10">
        <f t="shared" si="0"/>
        <v>15284.77</v>
      </c>
      <c r="G71" s="19" t="str">
        <f t="shared" si="1"/>
        <v>Active</v>
      </c>
      <c r="H71" s="20"/>
      <c r="J71" s="67">
        <v>63</v>
      </c>
      <c r="K71" s="67">
        <f>SUM(F383:F388)</f>
        <v>0</v>
      </c>
      <c r="L71" s="67">
        <f>SUM(D383:D388)</f>
        <v>0</v>
      </c>
      <c r="M71" s="67">
        <f>F388</f>
        <v>0</v>
      </c>
      <c r="N71" s="67"/>
      <c r="O71" s="67">
        <f t="shared" si="2"/>
        <v>11</v>
      </c>
      <c r="P71" s="67">
        <f>IF(B71="", 0, IFERROR(MIN(C71+D71, VLOOKUP(B71, '💳 Debt Input'!$A:$G, 4, FALSE)), 0))</f>
        <v>480</v>
      </c>
      <c r="Q71" s="67"/>
    </row>
    <row r="72" spans="1:17" ht="18" customHeight="1" x14ac:dyDescent="0.35">
      <c r="A72" s="19"/>
      <c r="B72" s="8" t="str">
        <f>'💳 Debt Input'!$A$8</f>
        <v>Travel Card</v>
      </c>
      <c r="C72" s="10">
        <f t="shared" si="3"/>
        <v>7555.14</v>
      </c>
      <c r="D72" s="10">
        <f>ROUND(C72*'💳 Debt Input'!$C$8/12,2)</f>
        <v>113.33</v>
      </c>
      <c r="E72" s="10">
        <f>IF(B72="", "", MIN(C72+D72, MAX(P72, $F$3 - SUMIFS(E$10:E71, O$10:O71, O72) - SUMIFS(P73:P$1995, O73:O$1995, O72))))</f>
        <v>270</v>
      </c>
      <c r="F72" s="10">
        <f t="shared" si="0"/>
        <v>7398.47</v>
      </c>
      <c r="G72" s="19" t="str">
        <f t="shared" si="1"/>
        <v>Active</v>
      </c>
      <c r="H72" s="20"/>
      <c r="J72" s="67">
        <v>64</v>
      </c>
      <c r="K72" s="67">
        <f>SUM(F389:F394)</f>
        <v>0</v>
      </c>
      <c r="L72" s="67">
        <f>SUM(D389:D394)</f>
        <v>0</v>
      </c>
      <c r="M72" s="67">
        <f>F394</f>
        <v>0</v>
      </c>
      <c r="N72" s="67"/>
      <c r="O72" s="67">
        <f t="shared" si="2"/>
        <v>11</v>
      </c>
      <c r="P72" s="67">
        <f>IF(B72="", 0, IFERROR(MIN(C72+D72, VLOOKUP(B72, '💳 Debt Input'!$A:$G, 4, FALSE)), 0))</f>
        <v>270</v>
      </c>
      <c r="Q72" s="67"/>
    </row>
    <row r="73" spans="1:17" ht="18" customHeight="1" x14ac:dyDescent="0.35">
      <c r="A73" s="19"/>
      <c r="B73" s="8" t="str">
        <f>'💳 Debt Input'!$A$7</f>
        <v>Auto Loan</v>
      </c>
      <c r="C73" s="10">
        <f t="shared" si="3"/>
        <v>3100.09</v>
      </c>
      <c r="D73" s="10">
        <f>ROUND(C73*'💳 Debt Input'!$C$7/12,2)</f>
        <v>25.83</v>
      </c>
      <c r="E73" s="10">
        <f>IF(B73="", "", MIN(C73+D73, MAX(P73, $F$3 - SUMIFS(E$10:E72, O$10:O72, O73) - SUMIFS(P74:P$1995, O74:O$1995, O73))))</f>
        <v>120</v>
      </c>
      <c r="F73" s="10">
        <f t="shared" si="0"/>
        <v>3005.92</v>
      </c>
      <c r="G73" s="19" t="str">
        <f t="shared" si="1"/>
        <v>Active</v>
      </c>
      <c r="H73" s="20"/>
      <c r="J73" s="67"/>
      <c r="K73" s="67"/>
      <c r="L73" s="67"/>
      <c r="M73" s="67"/>
      <c r="N73" s="67"/>
      <c r="O73" s="67">
        <f t="shared" si="2"/>
        <v>11</v>
      </c>
      <c r="P73" s="67">
        <f>IF(B73="", 0, IFERROR(MIN(C73+D73, VLOOKUP(B73, '💳 Debt Input'!$A:$G, 4, FALSE)), 0))</f>
        <v>120</v>
      </c>
      <c r="Q73" s="67"/>
    </row>
    <row r="74" spans="1:17" ht="18" customHeight="1" x14ac:dyDescent="0.35">
      <c r="A74" s="19"/>
      <c r="B74" s="8" t="str">
        <f>'💳 Debt Input'!$A$6</f>
        <v>Personal Loan</v>
      </c>
      <c r="C74" s="10">
        <f t="shared" si="3"/>
        <v>1167.5999999999999</v>
      </c>
      <c r="D74" s="10">
        <f>ROUND(C74*'💳 Debt Input'!$C$6/12,2)</f>
        <v>5.84</v>
      </c>
      <c r="E74" s="10">
        <f>IF(B74="", "", MIN(C74+D74, MAX(P74, $F$3 - SUMIFS(E$10:E73, O$10:O73, O74) - SUMIFS(P75:P$1995, O75:O$1995, O74))))</f>
        <v>40</v>
      </c>
      <c r="F74" s="10">
        <f t="shared" si="0"/>
        <v>1133.44</v>
      </c>
      <c r="G74" s="19" t="str">
        <f t="shared" si="1"/>
        <v>Active</v>
      </c>
      <c r="H74" s="20"/>
      <c r="J74" s="67"/>
      <c r="K74" s="67"/>
      <c r="L74" s="67"/>
      <c r="M74" s="67"/>
      <c r="N74" s="67"/>
      <c r="O74" s="67">
        <f t="shared" si="2"/>
        <v>11</v>
      </c>
      <c r="P74" s="67">
        <f>IF(B74="", 0, IFERROR(MIN(C74+D74, VLOOKUP(B74, '💳 Debt Input'!$A:$G, 4, FALSE)), 0))</f>
        <v>40</v>
      </c>
      <c r="Q74" s="67"/>
    </row>
    <row r="75" spans="1:17" ht="18" customHeight="1" x14ac:dyDescent="0.35">
      <c r="A75" s="19"/>
      <c r="B75" s="8" t="str">
        <f>'💳 Debt Input'!$A$5</f>
        <v>Medical Bill</v>
      </c>
      <c r="C75" s="10">
        <f t="shared" si="3"/>
        <v>263.14999999999998</v>
      </c>
      <c r="D75" s="10">
        <f>ROUND(C75*'💳 Debt Input'!$C$5/12,2)</f>
        <v>0.88</v>
      </c>
      <c r="E75" s="10">
        <f>IF(B75="", "", MIN(C75+D75, MAX(P75, $F$3 - SUMIFS(E$10:E74, O$10:O74, O75) - SUMIFS(P76:P$1995, O76:O$1995, O75))))</f>
        <v>25</v>
      </c>
      <c r="F75" s="10">
        <f t="shared" ref="F75:F138" si="4">ROUND(MAX(0,C75+D75-E75),2)</f>
        <v>239.03</v>
      </c>
      <c r="G75" s="19" t="str">
        <f t="shared" ref="G75:G138" si="5">IF(F75=0,"Paid off","Active")</f>
        <v>Active</v>
      </c>
      <c r="H75" s="20"/>
      <c r="J75" s="67"/>
      <c r="K75" s="67"/>
      <c r="L75" s="67"/>
      <c r="M75" s="67"/>
      <c r="N75" s="67"/>
      <c r="O75" s="67">
        <f t="shared" ref="O75:O138" si="6">IF(A75&lt;&gt;"", A75, O74)</f>
        <v>11</v>
      </c>
      <c r="P75" s="67">
        <f>IF(B75="", 0, IFERROR(MIN(C75+D75, VLOOKUP(B75, '💳 Debt Input'!$A:$G, 4, FALSE)), 0))</f>
        <v>25</v>
      </c>
      <c r="Q75" s="67"/>
    </row>
    <row r="76" spans="1:17" ht="18" customHeight="1" x14ac:dyDescent="0.35">
      <c r="A76" s="28"/>
      <c r="B76" s="26" t="str">
        <f>'💳 Debt Input'!$A$4</f>
        <v>Store Card</v>
      </c>
      <c r="C76" s="27">
        <f t="shared" si="3"/>
        <v>0</v>
      </c>
      <c r="D76" s="27">
        <f>ROUND(C76*'💳 Debt Input'!$C$4/12,2)</f>
        <v>0</v>
      </c>
      <c r="E76" s="27">
        <f>IF(B76="", "", MIN(C76+D76, MAX(P76, $F$3 - SUMIFS(E$10:E75, O$10:O75, O76) - SUMIFS(P77:P$1995, O77:O$1995, O76))))</f>
        <v>0</v>
      </c>
      <c r="F76" s="27">
        <f t="shared" si="4"/>
        <v>0</v>
      </c>
      <c r="G76" s="28" t="str">
        <f t="shared" si="5"/>
        <v>Paid off</v>
      </c>
      <c r="H76" s="29"/>
      <c r="J76" s="67"/>
      <c r="K76" s="67"/>
      <c r="L76" s="67"/>
      <c r="M76" s="67"/>
      <c r="N76" s="67"/>
      <c r="O76" s="67">
        <f t="shared" si="6"/>
        <v>11</v>
      </c>
      <c r="P76" s="67">
        <f>IF(B76="", 0, IFERROR(MIN(C76+D76, VLOOKUP(B76, '💳 Debt Input'!$A:$G, 4, FALSE)), 0))</f>
        <v>0</v>
      </c>
      <c r="Q76" s="67"/>
    </row>
    <row r="77" spans="1:17" ht="18" customHeight="1" x14ac:dyDescent="0.35">
      <c r="A77" s="21">
        <v>12</v>
      </c>
      <c r="B77" s="6" t="str">
        <f>'💳 Debt Input'!$A$9</f>
        <v>Rewards Visa</v>
      </c>
      <c r="C77" s="12">
        <f t="shared" si="3"/>
        <v>15284.77</v>
      </c>
      <c r="D77" s="12">
        <f>ROUND(C77*'💳 Debt Input'!$C$9/12,2)</f>
        <v>458.54</v>
      </c>
      <c r="E77" s="12">
        <f>IF(B77="", "", MIN(C77+D77, MAX(P77, $F$3 - SUMIFS(E$10:E76, O$10:O76, O77) - SUMIFS(P78:P$1995, O78:O$1995, O77))))</f>
        <v>555</v>
      </c>
      <c r="F77" s="12">
        <f t="shared" si="4"/>
        <v>15188.31</v>
      </c>
      <c r="G77" s="22" t="str">
        <f t="shared" si="5"/>
        <v>Active</v>
      </c>
      <c r="H77" s="23"/>
      <c r="J77" s="67"/>
      <c r="K77" s="67"/>
      <c r="L77" s="67"/>
      <c r="M77" s="67"/>
      <c r="N77" s="67"/>
      <c r="O77" s="67">
        <f t="shared" si="6"/>
        <v>12</v>
      </c>
      <c r="P77" s="67">
        <f>IF(B77="", 0, IFERROR(MIN(C77+D77, VLOOKUP(B77, '💳 Debt Input'!$A:$G, 4, FALSE)), 0))</f>
        <v>480</v>
      </c>
      <c r="Q77" s="67"/>
    </row>
    <row r="78" spans="1:17" ht="18" customHeight="1" x14ac:dyDescent="0.35">
      <c r="A78" s="22"/>
      <c r="B78" s="6" t="str">
        <f>'💳 Debt Input'!$A$8</f>
        <v>Travel Card</v>
      </c>
      <c r="C78" s="12">
        <f t="shared" si="3"/>
        <v>7398.47</v>
      </c>
      <c r="D78" s="12">
        <f>ROUND(C78*'💳 Debt Input'!$C$8/12,2)</f>
        <v>110.98</v>
      </c>
      <c r="E78" s="12">
        <f>IF(B78="", "", MIN(C78+D78, MAX(P78, $F$3 - SUMIFS(E$10:E77, O$10:O77, O78) - SUMIFS(P79:P$1995, O79:O$1995, O78))))</f>
        <v>270</v>
      </c>
      <c r="F78" s="12">
        <f t="shared" si="4"/>
        <v>7239.45</v>
      </c>
      <c r="G78" s="22" t="str">
        <f t="shared" si="5"/>
        <v>Active</v>
      </c>
      <c r="H78" s="23"/>
      <c r="J78" s="67"/>
      <c r="K78" s="67"/>
      <c r="L78" s="67"/>
      <c r="M78" s="67"/>
      <c r="N78" s="67"/>
      <c r="O78" s="67">
        <f t="shared" si="6"/>
        <v>12</v>
      </c>
      <c r="P78" s="67">
        <f>IF(B78="", 0, IFERROR(MIN(C78+D78, VLOOKUP(B78, '💳 Debt Input'!$A:$G, 4, FALSE)), 0))</f>
        <v>270</v>
      </c>
      <c r="Q78" s="67"/>
    </row>
    <row r="79" spans="1:17" ht="18" customHeight="1" x14ac:dyDescent="0.35">
      <c r="A79" s="22"/>
      <c r="B79" s="6" t="str">
        <f>'💳 Debt Input'!$A$7</f>
        <v>Auto Loan</v>
      </c>
      <c r="C79" s="12">
        <f t="shared" si="3"/>
        <v>3005.92</v>
      </c>
      <c r="D79" s="12">
        <f>ROUND(C79*'💳 Debt Input'!$C$7/12,2)</f>
        <v>25.05</v>
      </c>
      <c r="E79" s="12">
        <f>IF(B79="", "", MIN(C79+D79, MAX(P79, $F$3 - SUMIFS(E$10:E78, O$10:O78, O79) - SUMIFS(P80:P$1995, O80:O$1995, O79))))</f>
        <v>120</v>
      </c>
      <c r="F79" s="12">
        <f t="shared" si="4"/>
        <v>2910.97</v>
      </c>
      <c r="G79" s="22" t="str">
        <f t="shared" si="5"/>
        <v>Active</v>
      </c>
      <c r="H79" s="23"/>
      <c r="J79" s="67"/>
      <c r="K79" s="67"/>
      <c r="L79" s="67"/>
      <c r="M79" s="67"/>
      <c r="N79" s="67"/>
      <c r="O79" s="67">
        <f t="shared" si="6"/>
        <v>12</v>
      </c>
      <c r="P79" s="67">
        <f>IF(B79="", 0, IFERROR(MIN(C79+D79, VLOOKUP(B79, '💳 Debt Input'!$A:$G, 4, FALSE)), 0))</f>
        <v>120</v>
      </c>
      <c r="Q79" s="67"/>
    </row>
    <row r="80" spans="1:17" ht="18" customHeight="1" x14ac:dyDescent="0.35">
      <c r="A80" s="22"/>
      <c r="B80" s="6" t="str">
        <f>'💳 Debt Input'!$A$6</f>
        <v>Personal Loan</v>
      </c>
      <c r="C80" s="12">
        <f t="shared" si="3"/>
        <v>1133.44</v>
      </c>
      <c r="D80" s="12">
        <f>ROUND(C80*'💳 Debt Input'!$C$6/12,2)</f>
        <v>5.67</v>
      </c>
      <c r="E80" s="12">
        <f>IF(B80="", "", MIN(C80+D80, MAX(P80, $F$3 - SUMIFS(E$10:E79, O$10:O79, O80) - SUMIFS(P81:P$1995, O81:O$1995, O80))))</f>
        <v>40</v>
      </c>
      <c r="F80" s="12">
        <f t="shared" si="4"/>
        <v>1099.1099999999999</v>
      </c>
      <c r="G80" s="22" t="str">
        <f t="shared" si="5"/>
        <v>Active</v>
      </c>
      <c r="H80" s="23"/>
      <c r="J80" s="67"/>
      <c r="K80" s="67"/>
      <c r="L80" s="67"/>
      <c r="M80" s="67"/>
      <c r="N80" s="67"/>
      <c r="O80" s="67">
        <f t="shared" si="6"/>
        <v>12</v>
      </c>
      <c r="P80" s="67">
        <f>IF(B80="", 0, IFERROR(MIN(C80+D80, VLOOKUP(B80, '💳 Debt Input'!$A:$G, 4, FALSE)), 0))</f>
        <v>40</v>
      </c>
      <c r="Q80" s="67"/>
    </row>
    <row r="81" spans="1:17" ht="18" customHeight="1" x14ac:dyDescent="0.35">
      <c r="A81" s="22"/>
      <c r="B81" s="6" t="str">
        <f>'💳 Debt Input'!$A$5</f>
        <v>Medical Bill</v>
      </c>
      <c r="C81" s="12">
        <f t="shared" ref="C81:C144" si="7">F75</f>
        <v>239.03</v>
      </c>
      <c r="D81" s="12">
        <f>ROUND(C81*'💳 Debt Input'!$C$5/12,2)</f>
        <v>0.8</v>
      </c>
      <c r="E81" s="12">
        <f>IF(B81="", "", MIN(C81+D81, MAX(P81, $F$3 - SUMIFS(E$10:E80, O$10:O80, O81) - SUMIFS(P82:P$1995, O82:O$1995, O81))))</f>
        <v>25</v>
      </c>
      <c r="F81" s="12">
        <f t="shared" si="4"/>
        <v>214.83</v>
      </c>
      <c r="G81" s="22" t="str">
        <f t="shared" si="5"/>
        <v>Active</v>
      </c>
      <c r="H81" s="23"/>
      <c r="J81" s="67"/>
      <c r="K81" s="67"/>
      <c r="L81" s="67"/>
      <c r="M81" s="67"/>
      <c r="N81" s="67"/>
      <c r="O81" s="67">
        <f t="shared" si="6"/>
        <v>12</v>
      </c>
      <c r="P81" s="67">
        <f>IF(B81="", 0, IFERROR(MIN(C81+D81, VLOOKUP(B81, '💳 Debt Input'!$A:$G, 4, FALSE)), 0))</f>
        <v>25</v>
      </c>
      <c r="Q81" s="67"/>
    </row>
    <row r="82" spans="1:17" ht="18" customHeight="1" x14ac:dyDescent="0.35">
      <c r="A82" s="28"/>
      <c r="B82" s="26" t="str">
        <f>'💳 Debt Input'!$A$4</f>
        <v>Store Card</v>
      </c>
      <c r="C82" s="27">
        <f t="shared" si="7"/>
        <v>0</v>
      </c>
      <c r="D82" s="27">
        <f>ROUND(C82*'💳 Debt Input'!$C$4/12,2)</f>
        <v>0</v>
      </c>
      <c r="E82" s="27">
        <f>IF(B82="", "", MIN(C82+D82, MAX(P82, $F$3 - SUMIFS(E$10:E81, O$10:O81, O82) - SUMIFS(P83:P$1995, O83:O$1995, O82))))</f>
        <v>0</v>
      </c>
      <c r="F82" s="27">
        <f t="shared" si="4"/>
        <v>0</v>
      </c>
      <c r="G82" s="28" t="str">
        <f t="shared" si="5"/>
        <v>Paid off</v>
      </c>
      <c r="H82" s="29"/>
      <c r="J82" s="67"/>
      <c r="K82" s="67"/>
      <c r="L82" s="67"/>
      <c r="M82" s="67"/>
      <c r="N82" s="67"/>
      <c r="O82" s="67">
        <f t="shared" si="6"/>
        <v>12</v>
      </c>
      <c r="P82" s="67">
        <f>IF(B82="", 0, IFERROR(MIN(C82+D82, VLOOKUP(B82, '💳 Debt Input'!$A:$G, 4, FALSE)), 0))</f>
        <v>0</v>
      </c>
      <c r="Q82" s="67"/>
    </row>
    <row r="83" spans="1:17" ht="18" customHeight="1" x14ac:dyDescent="0.35">
      <c r="A83" s="24">
        <v>13</v>
      </c>
      <c r="B83" s="8" t="str">
        <f>'💳 Debt Input'!$A$9</f>
        <v>Rewards Visa</v>
      </c>
      <c r="C83" s="10">
        <f t="shared" si="7"/>
        <v>15188.31</v>
      </c>
      <c r="D83" s="10">
        <f>ROUND(C83*'💳 Debt Input'!$C$9/12,2)</f>
        <v>455.65</v>
      </c>
      <c r="E83" s="10">
        <f>IF(B83="", "", MIN(C83+D83, MAX(P83, $F$3 - SUMIFS(E$10:E82, O$10:O82, O83) - SUMIFS(P84:P$1995, O84:O$1995, O83))))</f>
        <v>555</v>
      </c>
      <c r="F83" s="10">
        <f t="shared" si="4"/>
        <v>15088.96</v>
      </c>
      <c r="G83" s="19" t="str">
        <f t="shared" si="5"/>
        <v>Active</v>
      </c>
      <c r="H83" s="20"/>
      <c r="J83" s="67"/>
      <c r="K83" s="67"/>
      <c r="L83" s="67"/>
      <c r="M83" s="67"/>
      <c r="N83" s="67"/>
      <c r="O83" s="67">
        <f t="shared" si="6"/>
        <v>13</v>
      </c>
      <c r="P83" s="67">
        <f>IF(B83="", 0, IFERROR(MIN(C83+D83, VLOOKUP(B83, '💳 Debt Input'!$A:$G, 4, FALSE)), 0))</f>
        <v>480</v>
      </c>
      <c r="Q83" s="67"/>
    </row>
    <row r="84" spans="1:17" ht="18" customHeight="1" x14ac:dyDescent="0.35">
      <c r="A84" s="19"/>
      <c r="B84" s="8" t="str">
        <f>'💳 Debt Input'!$A$8</f>
        <v>Travel Card</v>
      </c>
      <c r="C84" s="10">
        <f t="shared" si="7"/>
        <v>7239.45</v>
      </c>
      <c r="D84" s="10">
        <f>ROUND(C84*'💳 Debt Input'!$C$8/12,2)</f>
        <v>108.59</v>
      </c>
      <c r="E84" s="10">
        <f>IF(B84="", "", MIN(C84+D84, MAX(P84, $F$3 - SUMIFS(E$10:E83, O$10:O83, O84) - SUMIFS(P85:P$1995, O85:O$1995, O84))))</f>
        <v>270</v>
      </c>
      <c r="F84" s="10">
        <f t="shared" si="4"/>
        <v>7078.04</v>
      </c>
      <c r="G84" s="19" t="str">
        <f t="shared" si="5"/>
        <v>Active</v>
      </c>
      <c r="H84" s="20"/>
      <c r="J84" s="67"/>
      <c r="K84" s="67"/>
      <c r="L84" s="67"/>
      <c r="M84" s="67"/>
      <c r="N84" s="67"/>
      <c r="O84" s="67">
        <f t="shared" si="6"/>
        <v>13</v>
      </c>
      <c r="P84" s="67">
        <f>IF(B84="", 0, IFERROR(MIN(C84+D84, VLOOKUP(B84, '💳 Debt Input'!$A:$G, 4, FALSE)), 0))</f>
        <v>270</v>
      </c>
      <c r="Q84" s="67"/>
    </row>
    <row r="85" spans="1:17" ht="18" customHeight="1" x14ac:dyDescent="0.35">
      <c r="A85" s="19"/>
      <c r="B85" s="8" t="str">
        <f>'💳 Debt Input'!$A$7</f>
        <v>Auto Loan</v>
      </c>
      <c r="C85" s="10">
        <f t="shared" si="7"/>
        <v>2910.97</v>
      </c>
      <c r="D85" s="10">
        <f>ROUND(C85*'💳 Debt Input'!$C$7/12,2)</f>
        <v>24.26</v>
      </c>
      <c r="E85" s="10">
        <f>IF(B85="", "", MIN(C85+D85, MAX(P85, $F$3 - SUMIFS(E$10:E84, O$10:O84, O85) - SUMIFS(P86:P$1995, O86:O$1995, O85))))</f>
        <v>120</v>
      </c>
      <c r="F85" s="10">
        <f t="shared" si="4"/>
        <v>2815.23</v>
      </c>
      <c r="G85" s="19" t="str">
        <f t="shared" si="5"/>
        <v>Active</v>
      </c>
      <c r="H85" s="20"/>
      <c r="J85" s="67"/>
      <c r="K85" s="67"/>
      <c r="L85" s="67"/>
      <c r="M85" s="67"/>
      <c r="N85" s="67"/>
      <c r="O85" s="67">
        <f t="shared" si="6"/>
        <v>13</v>
      </c>
      <c r="P85" s="67">
        <f>IF(B85="", 0, IFERROR(MIN(C85+D85, VLOOKUP(B85, '💳 Debt Input'!$A:$G, 4, FALSE)), 0))</f>
        <v>120</v>
      </c>
      <c r="Q85" s="67"/>
    </row>
    <row r="86" spans="1:17" ht="18" customHeight="1" x14ac:dyDescent="0.35">
      <c r="A86" s="19"/>
      <c r="B86" s="8" t="str">
        <f>'💳 Debt Input'!$A$6</f>
        <v>Personal Loan</v>
      </c>
      <c r="C86" s="10">
        <f t="shared" si="7"/>
        <v>1099.1099999999999</v>
      </c>
      <c r="D86" s="10">
        <f>ROUND(C86*'💳 Debt Input'!$C$6/12,2)</f>
        <v>5.5</v>
      </c>
      <c r="E86" s="10">
        <f>IF(B86="", "", MIN(C86+D86, MAX(P86, $F$3 - SUMIFS(E$10:E85, O$10:O85, O86) - SUMIFS(P87:P$1995, O87:O$1995, O86))))</f>
        <v>40</v>
      </c>
      <c r="F86" s="10">
        <f t="shared" si="4"/>
        <v>1064.6099999999999</v>
      </c>
      <c r="G86" s="19" t="str">
        <f t="shared" si="5"/>
        <v>Active</v>
      </c>
      <c r="H86" s="20"/>
      <c r="J86" s="67"/>
      <c r="K86" s="67"/>
      <c r="L86" s="67"/>
      <c r="M86" s="67"/>
      <c r="N86" s="67"/>
      <c r="O86" s="67">
        <f t="shared" si="6"/>
        <v>13</v>
      </c>
      <c r="P86" s="67">
        <f>IF(B86="", 0, IFERROR(MIN(C86+D86, VLOOKUP(B86, '💳 Debt Input'!$A:$G, 4, FALSE)), 0))</f>
        <v>40</v>
      </c>
      <c r="Q86" s="67"/>
    </row>
    <row r="87" spans="1:17" ht="18" customHeight="1" x14ac:dyDescent="0.35">
      <c r="A87" s="19"/>
      <c r="B87" s="8" t="str">
        <f>'💳 Debt Input'!$A$5</f>
        <v>Medical Bill</v>
      </c>
      <c r="C87" s="10">
        <f t="shared" si="7"/>
        <v>214.83</v>
      </c>
      <c r="D87" s="10">
        <f>ROUND(C87*'💳 Debt Input'!$C$5/12,2)</f>
        <v>0.72</v>
      </c>
      <c r="E87" s="10">
        <f>IF(B87="", "", MIN(C87+D87, MAX(P87, $F$3 - SUMIFS(E$10:E86, O$10:O86, O87) - SUMIFS(P88:P$1995, O88:O$1995, O87))))</f>
        <v>25</v>
      </c>
      <c r="F87" s="10">
        <f t="shared" si="4"/>
        <v>190.55</v>
      </c>
      <c r="G87" s="19" t="str">
        <f t="shared" si="5"/>
        <v>Active</v>
      </c>
      <c r="H87" s="20"/>
      <c r="J87" s="67"/>
      <c r="K87" s="67"/>
      <c r="L87" s="67"/>
      <c r="M87" s="67"/>
      <c r="N87" s="67"/>
      <c r="O87" s="67">
        <f t="shared" si="6"/>
        <v>13</v>
      </c>
      <c r="P87" s="67">
        <f>IF(B87="", 0, IFERROR(MIN(C87+D87, VLOOKUP(B87, '💳 Debt Input'!$A:$G, 4, FALSE)), 0))</f>
        <v>25</v>
      </c>
      <c r="Q87" s="67"/>
    </row>
    <row r="88" spans="1:17" ht="18" customHeight="1" x14ac:dyDescent="0.35">
      <c r="A88" s="28"/>
      <c r="B88" s="26" t="str">
        <f>'💳 Debt Input'!$A$4</f>
        <v>Store Card</v>
      </c>
      <c r="C88" s="27">
        <f t="shared" si="7"/>
        <v>0</v>
      </c>
      <c r="D88" s="27">
        <f>ROUND(C88*'💳 Debt Input'!$C$4/12,2)</f>
        <v>0</v>
      </c>
      <c r="E88" s="27">
        <f>IF(B88="", "", MIN(C88+D88, MAX(P88, $F$3 - SUMIFS(E$10:E87, O$10:O87, O88) - SUMIFS(P89:P$1995, O89:O$1995, O88))))</f>
        <v>0</v>
      </c>
      <c r="F88" s="27">
        <f t="shared" si="4"/>
        <v>0</v>
      </c>
      <c r="G88" s="28" t="str">
        <f t="shared" si="5"/>
        <v>Paid off</v>
      </c>
      <c r="H88" s="29"/>
      <c r="J88" s="67"/>
      <c r="K88" s="67"/>
      <c r="L88" s="67"/>
      <c r="M88" s="67"/>
      <c r="N88" s="67"/>
      <c r="O88" s="67">
        <f t="shared" si="6"/>
        <v>13</v>
      </c>
      <c r="P88" s="67">
        <f>IF(B88="", 0, IFERROR(MIN(C88+D88, VLOOKUP(B88, '💳 Debt Input'!$A:$G, 4, FALSE)), 0))</f>
        <v>0</v>
      </c>
      <c r="Q88" s="67"/>
    </row>
    <row r="89" spans="1:17" ht="18" customHeight="1" x14ac:dyDescent="0.35">
      <c r="A89" s="21">
        <v>14</v>
      </c>
      <c r="B89" s="6" t="str">
        <f>'💳 Debt Input'!$A$9</f>
        <v>Rewards Visa</v>
      </c>
      <c r="C89" s="12">
        <f t="shared" si="7"/>
        <v>15088.96</v>
      </c>
      <c r="D89" s="12">
        <f>ROUND(C89*'💳 Debt Input'!$C$9/12,2)</f>
        <v>452.67</v>
      </c>
      <c r="E89" s="12">
        <f>IF(B89="", "", MIN(C89+D89, MAX(P89, $F$3 - SUMIFS(E$10:E88, O$10:O88, O89) - SUMIFS(P90:P$1995, O90:O$1995, O89))))</f>
        <v>555</v>
      </c>
      <c r="F89" s="12">
        <f t="shared" si="4"/>
        <v>14986.63</v>
      </c>
      <c r="G89" s="22" t="str">
        <f t="shared" si="5"/>
        <v>Active</v>
      </c>
      <c r="H89" s="23"/>
      <c r="J89" s="67"/>
      <c r="K89" s="67"/>
      <c r="L89" s="67"/>
      <c r="M89" s="67"/>
      <c r="N89" s="67"/>
      <c r="O89" s="67">
        <f t="shared" si="6"/>
        <v>14</v>
      </c>
      <c r="P89" s="67">
        <f>IF(B89="", 0, IFERROR(MIN(C89+D89, VLOOKUP(B89, '💳 Debt Input'!$A:$G, 4, FALSE)), 0))</f>
        <v>480</v>
      </c>
      <c r="Q89" s="67"/>
    </row>
    <row r="90" spans="1:17" ht="18" customHeight="1" x14ac:dyDescent="0.35">
      <c r="A90" s="22"/>
      <c r="B90" s="6" t="str">
        <f>'💳 Debt Input'!$A$8</f>
        <v>Travel Card</v>
      </c>
      <c r="C90" s="12">
        <f t="shared" si="7"/>
        <v>7078.04</v>
      </c>
      <c r="D90" s="12">
        <f>ROUND(C90*'💳 Debt Input'!$C$8/12,2)</f>
        <v>106.17</v>
      </c>
      <c r="E90" s="12">
        <f>IF(B90="", "", MIN(C90+D90, MAX(P90, $F$3 - SUMIFS(E$10:E89, O$10:O89, O90) - SUMIFS(P91:P$1995, O91:O$1995, O90))))</f>
        <v>270</v>
      </c>
      <c r="F90" s="12">
        <f t="shared" si="4"/>
        <v>6914.21</v>
      </c>
      <c r="G90" s="22" t="str">
        <f t="shared" si="5"/>
        <v>Active</v>
      </c>
      <c r="H90" s="23"/>
      <c r="J90" s="67"/>
      <c r="K90" s="67"/>
      <c r="L90" s="67"/>
      <c r="M90" s="67"/>
      <c r="N90" s="67"/>
      <c r="O90" s="67">
        <f t="shared" si="6"/>
        <v>14</v>
      </c>
      <c r="P90" s="67">
        <f>IF(B90="", 0, IFERROR(MIN(C90+D90, VLOOKUP(B90, '💳 Debt Input'!$A:$G, 4, FALSE)), 0))</f>
        <v>270</v>
      </c>
      <c r="Q90" s="67"/>
    </row>
    <row r="91" spans="1:17" ht="18" customHeight="1" x14ac:dyDescent="0.35">
      <c r="A91" s="22"/>
      <c r="B91" s="6" t="str">
        <f>'💳 Debt Input'!$A$7</f>
        <v>Auto Loan</v>
      </c>
      <c r="C91" s="12">
        <f t="shared" si="7"/>
        <v>2815.23</v>
      </c>
      <c r="D91" s="12">
        <f>ROUND(C91*'💳 Debt Input'!$C$7/12,2)</f>
        <v>23.46</v>
      </c>
      <c r="E91" s="12">
        <f>IF(B91="", "", MIN(C91+D91, MAX(P91, $F$3 - SUMIFS(E$10:E90, O$10:O90, O91) - SUMIFS(P92:P$1995, O92:O$1995, O91))))</f>
        <v>120</v>
      </c>
      <c r="F91" s="12">
        <f t="shared" si="4"/>
        <v>2718.69</v>
      </c>
      <c r="G91" s="22" t="str">
        <f t="shared" si="5"/>
        <v>Active</v>
      </c>
      <c r="H91" s="23"/>
      <c r="J91" s="67"/>
      <c r="K91" s="67"/>
      <c r="L91" s="67"/>
      <c r="M91" s="67"/>
      <c r="N91" s="67"/>
      <c r="O91" s="67">
        <f t="shared" si="6"/>
        <v>14</v>
      </c>
      <c r="P91" s="67">
        <f>IF(B91="", 0, IFERROR(MIN(C91+D91, VLOOKUP(B91, '💳 Debt Input'!$A:$G, 4, FALSE)), 0))</f>
        <v>120</v>
      </c>
      <c r="Q91" s="67"/>
    </row>
    <row r="92" spans="1:17" ht="18" customHeight="1" x14ac:dyDescent="0.35">
      <c r="A92" s="22"/>
      <c r="B92" s="6" t="str">
        <f>'💳 Debt Input'!$A$6</f>
        <v>Personal Loan</v>
      </c>
      <c r="C92" s="12">
        <f t="shared" si="7"/>
        <v>1064.6099999999999</v>
      </c>
      <c r="D92" s="12">
        <f>ROUND(C92*'💳 Debt Input'!$C$6/12,2)</f>
        <v>5.32</v>
      </c>
      <c r="E92" s="12">
        <f>IF(B92="", "", MIN(C92+D92, MAX(P92, $F$3 - SUMIFS(E$10:E91, O$10:O91, O92) - SUMIFS(P93:P$1995, O93:O$1995, O92))))</f>
        <v>40</v>
      </c>
      <c r="F92" s="12">
        <f t="shared" si="4"/>
        <v>1029.93</v>
      </c>
      <c r="G92" s="22" t="str">
        <f t="shared" si="5"/>
        <v>Active</v>
      </c>
      <c r="H92" s="23"/>
      <c r="J92" s="67"/>
      <c r="K92" s="67"/>
      <c r="L92" s="67"/>
      <c r="M92" s="67"/>
      <c r="N92" s="67"/>
      <c r="O92" s="67">
        <f t="shared" si="6"/>
        <v>14</v>
      </c>
      <c r="P92" s="67">
        <f>IF(B92="", 0, IFERROR(MIN(C92+D92, VLOOKUP(B92, '💳 Debt Input'!$A:$G, 4, FALSE)), 0))</f>
        <v>40</v>
      </c>
      <c r="Q92" s="67"/>
    </row>
    <row r="93" spans="1:17" ht="18" customHeight="1" x14ac:dyDescent="0.35">
      <c r="A93" s="22"/>
      <c r="B93" s="6" t="str">
        <f>'💳 Debt Input'!$A$5</f>
        <v>Medical Bill</v>
      </c>
      <c r="C93" s="12">
        <f t="shared" si="7"/>
        <v>190.55</v>
      </c>
      <c r="D93" s="12">
        <f>ROUND(C93*'💳 Debt Input'!$C$5/12,2)</f>
        <v>0.64</v>
      </c>
      <c r="E93" s="12">
        <f>IF(B93="", "", MIN(C93+D93, MAX(P93, $F$3 - SUMIFS(E$10:E92, O$10:O92, O93) - SUMIFS(P94:P$1995, O94:O$1995, O93))))</f>
        <v>25</v>
      </c>
      <c r="F93" s="12">
        <f t="shared" si="4"/>
        <v>166.19</v>
      </c>
      <c r="G93" s="22" t="str">
        <f t="shared" si="5"/>
        <v>Active</v>
      </c>
      <c r="H93" s="23"/>
      <c r="J93" s="67"/>
      <c r="K93" s="67"/>
      <c r="L93" s="67"/>
      <c r="M93" s="67"/>
      <c r="N93" s="67"/>
      <c r="O93" s="67">
        <f t="shared" si="6"/>
        <v>14</v>
      </c>
      <c r="P93" s="67">
        <f>IF(B93="", 0, IFERROR(MIN(C93+D93, VLOOKUP(B93, '💳 Debt Input'!$A:$G, 4, FALSE)), 0))</f>
        <v>25</v>
      </c>
      <c r="Q93" s="67"/>
    </row>
    <row r="94" spans="1:17" ht="18" customHeight="1" x14ac:dyDescent="0.35">
      <c r="A94" s="28"/>
      <c r="B94" s="26" t="str">
        <f>'💳 Debt Input'!$A$4</f>
        <v>Store Card</v>
      </c>
      <c r="C94" s="27">
        <f t="shared" si="7"/>
        <v>0</v>
      </c>
      <c r="D94" s="27">
        <f>ROUND(C94*'💳 Debt Input'!$C$4/12,2)</f>
        <v>0</v>
      </c>
      <c r="E94" s="27">
        <f>IF(B94="", "", MIN(C94+D94, MAX(P94, $F$3 - SUMIFS(E$10:E93, O$10:O93, O94) - SUMIFS(P95:P$1995, O95:O$1995, O94))))</f>
        <v>0</v>
      </c>
      <c r="F94" s="27">
        <f t="shared" si="4"/>
        <v>0</v>
      </c>
      <c r="G94" s="28" t="str">
        <f t="shared" si="5"/>
        <v>Paid off</v>
      </c>
      <c r="H94" s="29"/>
      <c r="J94" s="67"/>
      <c r="K94" s="67"/>
      <c r="L94" s="67"/>
      <c r="M94" s="67"/>
      <c r="N94" s="67"/>
      <c r="O94" s="67">
        <f t="shared" si="6"/>
        <v>14</v>
      </c>
      <c r="P94" s="67">
        <f>IF(B94="", 0, IFERROR(MIN(C94+D94, VLOOKUP(B94, '💳 Debt Input'!$A:$G, 4, FALSE)), 0))</f>
        <v>0</v>
      </c>
      <c r="Q94" s="67"/>
    </row>
    <row r="95" spans="1:17" ht="18" customHeight="1" x14ac:dyDescent="0.35">
      <c r="A95" s="24">
        <v>15</v>
      </c>
      <c r="B95" s="8" t="str">
        <f>'💳 Debt Input'!$A$9</f>
        <v>Rewards Visa</v>
      </c>
      <c r="C95" s="10">
        <f t="shared" si="7"/>
        <v>14986.63</v>
      </c>
      <c r="D95" s="10">
        <f>ROUND(C95*'💳 Debt Input'!$C$9/12,2)</f>
        <v>449.6</v>
      </c>
      <c r="E95" s="10">
        <f>IF(B95="", "", MIN(C95+D95, MAX(P95, $F$3 - SUMIFS(E$10:E94, O$10:O94, O95) - SUMIFS(P96:P$1995, O96:O$1995, O95))))</f>
        <v>555</v>
      </c>
      <c r="F95" s="10">
        <f t="shared" si="4"/>
        <v>14881.23</v>
      </c>
      <c r="G95" s="19" t="str">
        <f t="shared" si="5"/>
        <v>Active</v>
      </c>
      <c r="H95" s="20"/>
      <c r="J95" s="67"/>
      <c r="K95" s="67"/>
      <c r="L95" s="67"/>
      <c r="M95" s="67"/>
      <c r="N95" s="67"/>
      <c r="O95" s="67">
        <f t="shared" si="6"/>
        <v>15</v>
      </c>
      <c r="P95" s="67">
        <f>IF(B95="", 0, IFERROR(MIN(C95+D95, VLOOKUP(B95, '💳 Debt Input'!$A:$G, 4, FALSE)), 0))</f>
        <v>480</v>
      </c>
      <c r="Q95" s="67"/>
    </row>
    <row r="96" spans="1:17" ht="18" customHeight="1" x14ac:dyDescent="0.35">
      <c r="A96" s="19"/>
      <c r="B96" s="8" t="str">
        <f>'💳 Debt Input'!$A$8</f>
        <v>Travel Card</v>
      </c>
      <c r="C96" s="10">
        <f t="shared" si="7"/>
        <v>6914.21</v>
      </c>
      <c r="D96" s="10">
        <f>ROUND(C96*'💳 Debt Input'!$C$8/12,2)</f>
        <v>103.71</v>
      </c>
      <c r="E96" s="10">
        <f>IF(B96="", "", MIN(C96+D96, MAX(P96, $F$3 - SUMIFS(E$10:E95, O$10:O95, O96) - SUMIFS(P97:P$1995, O97:O$1995, O96))))</f>
        <v>270</v>
      </c>
      <c r="F96" s="10">
        <f t="shared" si="4"/>
        <v>6747.92</v>
      </c>
      <c r="G96" s="19" t="str">
        <f t="shared" si="5"/>
        <v>Active</v>
      </c>
      <c r="H96" s="20"/>
      <c r="J96" s="67"/>
      <c r="K96" s="67"/>
      <c r="L96" s="67"/>
      <c r="M96" s="67"/>
      <c r="N96" s="67"/>
      <c r="O96" s="67">
        <f t="shared" si="6"/>
        <v>15</v>
      </c>
      <c r="P96" s="67">
        <f>IF(B96="", 0, IFERROR(MIN(C96+D96, VLOOKUP(B96, '💳 Debt Input'!$A:$G, 4, FALSE)), 0))</f>
        <v>270</v>
      </c>
      <c r="Q96" s="67"/>
    </row>
    <row r="97" spans="1:17" ht="18" customHeight="1" x14ac:dyDescent="0.35">
      <c r="A97" s="19"/>
      <c r="B97" s="8" t="str">
        <f>'💳 Debt Input'!$A$7</f>
        <v>Auto Loan</v>
      </c>
      <c r="C97" s="10">
        <f t="shared" si="7"/>
        <v>2718.69</v>
      </c>
      <c r="D97" s="10">
        <f>ROUND(C97*'💳 Debt Input'!$C$7/12,2)</f>
        <v>22.66</v>
      </c>
      <c r="E97" s="10">
        <f>IF(B97="", "", MIN(C97+D97, MAX(P97, $F$3 - SUMIFS(E$10:E96, O$10:O96, O97) - SUMIFS(P98:P$1995, O98:O$1995, O97))))</f>
        <v>120</v>
      </c>
      <c r="F97" s="10">
        <f t="shared" si="4"/>
        <v>2621.35</v>
      </c>
      <c r="G97" s="19" t="str">
        <f t="shared" si="5"/>
        <v>Active</v>
      </c>
      <c r="H97" s="20"/>
      <c r="J97" s="67"/>
      <c r="K97" s="67"/>
      <c r="L97" s="67"/>
      <c r="M97" s="67"/>
      <c r="N97" s="67"/>
      <c r="O97" s="67">
        <f t="shared" si="6"/>
        <v>15</v>
      </c>
      <c r="P97" s="67">
        <f>IF(B97="", 0, IFERROR(MIN(C97+D97, VLOOKUP(B97, '💳 Debt Input'!$A:$G, 4, FALSE)), 0))</f>
        <v>120</v>
      </c>
      <c r="Q97" s="67"/>
    </row>
    <row r="98" spans="1:17" ht="18" customHeight="1" x14ac:dyDescent="0.35">
      <c r="A98" s="19"/>
      <c r="B98" s="8" t="str">
        <f>'💳 Debt Input'!$A$6</f>
        <v>Personal Loan</v>
      </c>
      <c r="C98" s="10">
        <f t="shared" si="7"/>
        <v>1029.93</v>
      </c>
      <c r="D98" s="10">
        <f>ROUND(C98*'💳 Debt Input'!$C$6/12,2)</f>
        <v>5.15</v>
      </c>
      <c r="E98" s="10">
        <f>IF(B98="", "", MIN(C98+D98, MAX(P98, $F$3 - SUMIFS(E$10:E97, O$10:O97, O98) - SUMIFS(P99:P$1995, O99:O$1995, O98))))</f>
        <v>40</v>
      </c>
      <c r="F98" s="10">
        <f t="shared" si="4"/>
        <v>995.08</v>
      </c>
      <c r="G98" s="19" t="str">
        <f t="shared" si="5"/>
        <v>Active</v>
      </c>
      <c r="H98" s="20"/>
      <c r="J98" s="67"/>
      <c r="K98" s="67"/>
      <c r="L98" s="67"/>
      <c r="M98" s="67"/>
      <c r="N98" s="67"/>
      <c r="O98" s="67">
        <f t="shared" si="6"/>
        <v>15</v>
      </c>
      <c r="P98" s="67">
        <f>IF(B98="", 0, IFERROR(MIN(C98+D98, VLOOKUP(B98, '💳 Debt Input'!$A:$G, 4, FALSE)), 0))</f>
        <v>40</v>
      </c>
      <c r="Q98" s="67"/>
    </row>
    <row r="99" spans="1:17" ht="18" customHeight="1" x14ac:dyDescent="0.35">
      <c r="A99" s="19"/>
      <c r="B99" s="8" t="str">
        <f>'💳 Debt Input'!$A$5</f>
        <v>Medical Bill</v>
      </c>
      <c r="C99" s="10">
        <f t="shared" si="7"/>
        <v>166.19</v>
      </c>
      <c r="D99" s="10">
        <f>ROUND(C99*'💳 Debt Input'!$C$5/12,2)</f>
        <v>0.55000000000000004</v>
      </c>
      <c r="E99" s="10">
        <f>IF(B99="", "", MIN(C99+D99, MAX(P99, $F$3 - SUMIFS(E$10:E98, O$10:O98, O99) - SUMIFS(P100:P$1995, O100:O$1995, O99))))</f>
        <v>25</v>
      </c>
      <c r="F99" s="10">
        <f t="shared" si="4"/>
        <v>141.74</v>
      </c>
      <c r="G99" s="19" t="str">
        <f t="shared" si="5"/>
        <v>Active</v>
      </c>
      <c r="H99" s="20"/>
      <c r="J99" s="67"/>
      <c r="K99" s="67"/>
      <c r="L99" s="67"/>
      <c r="M99" s="67"/>
      <c r="N99" s="67"/>
      <c r="O99" s="67">
        <f t="shared" si="6"/>
        <v>15</v>
      </c>
      <c r="P99" s="67">
        <f>IF(B99="", 0, IFERROR(MIN(C99+D99, VLOOKUP(B99, '💳 Debt Input'!$A:$G, 4, FALSE)), 0))</f>
        <v>25</v>
      </c>
      <c r="Q99" s="67"/>
    </row>
    <row r="100" spans="1:17" ht="18" customHeight="1" x14ac:dyDescent="0.35">
      <c r="A100" s="28"/>
      <c r="B100" s="26" t="str">
        <f>'💳 Debt Input'!$A$4</f>
        <v>Store Card</v>
      </c>
      <c r="C100" s="27">
        <f t="shared" si="7"/>
        <v>0</v>
      </c>
      <c r="D100" s="27">
        <f>ROUND(C100*'💳 Debt Input'!$C$4/12,2)</f>
        <v>0</v>
      </c>
      <c r="E100" s="27">
        <f>IF(B100="", "", MIN(C100+D100, MAX(P100, $F$3 - SUMIFS(E$10:E99, O$10:O99, O100) - SUMIFS(P101:P$1995, O101:O$1995, O100))))</f>
        <v>0</v>
      </c>
      <c r="F100" s="27">
        <f t="shared" si="4"/>
        <v>0</v>
      </c>
      <c r="G100" s="28" t="str">
        <f t="shared" si="5"/>
        <v>Paid off</v>
      </c>
      <c r="H100" s="29"/>
      <c r="J100" s="67"/>
      <c r="K100" s="67"/>
      <c r="L100" s="67"/>
      <c r="M100" s="67"/>
      <c r="N100" s="67"/>
      <c r="O100" s="67">
        <f t="shared" si="6"/>
        <v>15</v>
      </c>
      <c r="P100" s="67">
        <f>IF(B100="", 0, IFERROR(MIN(C100+D100, VLOOKUP(B100, '💳 Debt Input'!$A:$G, 4, FALSE)), 0))</f>
        <v>0</v>
      </c>
      <c r="Q100" s="67"/>
    </row>
    <row r="101" spans="1:17" ht="18" customHeight="1" x14ac:dyDescent="0.35">
      <c r="A101" s="21">
        <v>16</v>
      </c>
      <c r="B101" s="6" t="str">
        <f>'💳 Debt Input'!$A$9</f>
        <v>Rewards Visa</v>
      </c>
      <c r="C101" s="12">
        <f t="shared" si="7"/>
        <v>14881.23</v>
      </c>
      <c r="D101" s="12">
        <f>ROUND(C101*'💳 Debt Input'!$C$9/12,2)</f>
        <v>446.44</v>
      </c>
      <c r="E101" s="12">
        <f>IF(B101="", "", MIN(C101+D101, MAX(P101, $F$3 - SUMIFS(E$10:E100, O$10:O100, O101) - SUMIFS(P102:P$1995, O102:O$1995, O101))))</f>
        <v>555</v>
      </c>
      <c r="F101" s="12">
        <f t="shared" si="4"/>
        <v>14772.67</v>
      </c>
      <c r="G101" s="22" t="str">
        <f t="shared" si="5"/>
        <v>Active</v>
      </c>
      <c r="H101" s="23"/>
      <c r="J101" s="67"/>
      <c r="K101" s="67"/>
      <c r="L101" s="67"/>
      <c r="M101" s="67"/>
      <c r="N101" s="67"/>
      <c r="O101" s="67">
        <f t="shared" si="6"/>
        <v>16</v>
      </c>
      <c r="P101" s="67">
        <f>IF(B101="", 0, IFERROR(MIN(C101+D101, VLOOKUP(B101, '💳 Debt Input'!$A:$G, 4, FALSE)), 0))</f>
        <v>480</v>
      </c>
      <c r="Q101" s="67"/>
    </row>
    <row r="102" spans="1:17" ht="18" customHeight="1" x14ac:dyDescent="0.35">
      <c r="A102" s="22"/>
      <c r="B102" s="6" t="str">
        <f>'💳 Debt Input'!$A$8</f>
        <v>Travel Card</v>
      </c>
      <c r="C102" s="12">
        <f t="shared" si="7"/>
        <v>6747.92</v>
      </c>
      <c r="D102" s="12">
        <f>ROUND(C102*'💳 Debt Input'!$C$8/12,2)</f>
        <v>101.22</v>
      </c>
      <c r="E102" s="12">
        <f>IF(B102="", "", MIN(C102+D102, MAX(P102, $F$3 - SUMIFS(E$10:E101, O$10:O101, O102) - SUMIFS(P103:P$1995, O103:O$1995, O102))))</f>
        <v>270</v>
      </c>
      <c r="F102" s="12">
        <f t="shared" si="4"/>
        <v>6579.14</v>
      </c>
      <c r="G102" s="22" t="str">
        <f t="shared" si="5"/>
        <v>Active</v>
      </c>
      <c r="H102" s="23"/>
      <c r="J102" s="67"/>
      <c r="K102" s="67"/>
      <c r="L102" s="67"/>
      <c r="M102" s="67"/>
      <c r="N102" s="67"/>
      <c r="O102" s="67">
        <f t="shared" si="6"/>
        <v>16</v>
      </c>
      <c r="P102" s="67">
        <f>IF(B102="", 0, IFERROR(MIN(C102+D102, VLOOKUP(B102, '💳 Debt Input'!$A:$G, 4, FALSE)), 0))</f>
        <v>270</v>
      </c>
      <c r="Q102" s="67"/>
    </row>
    <row r="103" spans="1:17" ht="18" customHeight="1" x14ac:dyDescent="0.35">
      <c r="A103" s="22"/>
      <c r="B103" s="6" t="str">
        <f>'💳 Debt Input'!$A$7</f>
        <v>Auto Loan</v>
      </c>
      <c r="C103" s="12">
        <f t="shared" si="7"/>
        <v>2621.35</v>
      </c>
      <c r="D103" s="12">
        <f>ROUND(C103*'💳 Debt Input'!$C$7/12,2)</f>
        <v>21.84</v>
      </c>
      <c r="E103" s="12">
        <f>IF(B103="", "", MIN(C103+D103, MAX(P103, $F$3 - SUMIFS(E$10:E102, O$10:O102, O103) - SUMIFS(P104:P$1995, O104:O$1995, O103))))</f>
        <v>120</v>
      </c>
      <c r="F103" s="12">
        <f t="shared" si="4"/>
        <v>2523.19</v>
      </c>
      <c r="G103" s="22" t="str">
        <f t="shared" si="5"/>
        <v>Active</v>
      </c>
      <c r="H103" s="23"/>
      <c r="J103" s="67"/>
      <c r="K103" s="67"/>
      <c r="L103" s="67"/>
      <c r="M103" s="67"/>
      <c r="N103" s="67"/>
      <c r="O103" s="67">
        <f t="shared" si="6"/>
        <v>16</v>
      </c>
      <c r="P103" s="67">
        <f>IF(B103="", 0, IFERROR(MIN(C103+D103, VLOOKUP(B103, '💳 Debt Input'!$A:$G, 4, FALSE)), 0))</f>
        <v>120</v>
      </c>
      <c r="Q103" s="67"/>
    </row>
    <row r="104" spans="1:17" ht="18" customHeight="1" x14ac:dyDescent="0.35">
      <c r="A104" s="22"/>
      <c r="B104" s="6" t="str">
        <f>'💳 Debt Input'!$A$6</f>
        <v>Personal Loan</v>
      </c>
      <c r="C104" s="12">
        <f t="shared" si="7"/>
        <v>995.08</v>
      </c>
      <c r="D104" s="12">
        <f>ROUND(C104*'💳 Debt Input'!$C$6/12,2)</f>
        <v>4.9800000000000004</v>
      </c>
      <c r="E104" s="12">
        <f>IF(B104="", "", MIN(C104+D104, MAX(P104, $F$3 - SUMIFS(E$10:E103, O$10:O103, O104) - SUMIFS(P105:P$1995, O105:O$1995, O104))))</f>
        <v>40</v>
      </c>
      <c r="F104" s="12">
        <f t="shared" si="4"/>
        <v>960.06</v>
      </c>
      <c r="G104" s="22" t="str">
        <f t="shared" si="5"/>
        <v>Active</v>
      </c>
      <c r="H104" s="23"/>
      <c r="J104" s="67"/>
      <c r="K104" s="67"/>
      <c r="L104" s="67"/>
      <c r="M104" s="67"/>
      <c r="N104" s="67"/>
      <c r="O104" s="67">
        <f t="shared" si="6"/>
        <v>16</v>
      </c>
      <c r="P104" s="67">
        <f>IF(B104="", 0, IFERROR(MIN(C104+D104, VLOOKUP(B104, '💳 Debt Input'!$A:$G, 4, FALSE)), 0))</f>
        <v>40</v>
      </c>
      <c r="Q104" s="67"/>
    </row>
    <row r="105" spans="1:17" ht="18" customHeight="1" x14ac:dyDescent="0.35">
      <c r="A105" s="22"/>
      <c r="B105" s="6" t="str">
        <f>'💳 Debt Input'!$A$5</f>
        <v>Medical Bill</v>
      </c>
      <c r="C105" s="12">
        <f t="shared" si="7"/>
        <v>141.74</v>
      </c>
      <c r="D105" s="12">
        <f>ROUND(C105*'💳 Debt Input'!$C$5/12,2)</f>
        <v>0.47</v>
      </c>
      <c r="E105" s="12">
        <f>IF(B105="", "", MIN(C105+D105, MAX(P105, $F$3 - SUMIFS(E$10:E104, O$10:O104, O105) - SUMIFS(P106:P$1995, O106:O$1995, O105))))</f>
        <v>25</v>
      </c>
      <c r="F105" s="12">
        <f t="shared" si="4"/>
        <v>117.21</v>
      </c>
      <c r="G105" s="22" t="str">
        <f t="shared" si="5"/>
        <v>Active</v>
      </c>
      <c r="H105" s="23"/>
      <c r="J105" s="67"/>
      <c r="K105" s="67"/>
      <c r="L105" s="67"/>
      <c r="M105" s="67"/>
      <c r="N105" s="67"/>
      <c r="O105" s="67">
        <f t="shared" si="6"/>
        <v>16</v>
      </c>
      <c r="P105" s="67">
        <f>IF(B105="", 0, IFERROR(MIN(C105+D105, VLOOKUP(B105, '💳 Debt Input'!$A:$G, 4, FALSE)), 0))</f>
        <v>25</v>
      </c>
      <c r="Q105" s="67"/>
    </row>
    <row r="106" spans="1:17" ht="18" customHeight="1" x14ac:dyDescent="0.35">
      <c r="A106" s="28"/>
      <c r="B106" s="26" t="str">
        <f>'💳 Debt Input'!$A$4</f>
        <v>Store Card</v>
      </c>
      <c r="C106" s="27">
        <f t="shared" si="7"/>
        <v>0</v>
      </c>
      <c r="D106" s="27">
        <f>ROUND(C106*'💳 Debt Input'!$C$4/12,2)</f>
        <v>0</v>
      </c>
      <c r="E106" s="27">
        <f>IF(B106="", "", MIN(C106+D106, MAX(P106, $F$3 - SUMIFS(E$10:E105, O$10:O105, O106) - SUMIFS(P107:P$1995, O107:O$1995, O106))))</f>
        <v>0</v>
      </c>
      <c r="F106" s="27">
        <f t="shared" si="4"/>
        <v>0</v>
      </c>
      <c r="G106" s="28" t="str">
        <f t="shared" si="5"/>
        <v>Paid off</v>
      </c>
      <c r="H106" s="29"/>
      <c r="J106" s="67"/>
      <c r="K106" s="67"/>
      <c r="L106" s="67"/>
      <c r="M106" s="67"/>
      <c r="N106" s="67"/>
      <c r="O106" s="67">
        <f t="shared" si="6"/>
        <v>16</v>
      </c>
      <c r="P106" s="67">
        <f>IF(B106="", 0, IFERROR(MIN(C106+D106, VLOOKUP(B106, '💳 Debt Input'!$A:$G, 4, FALSE)), 0))</f>
        <v>0</v>
      </c>
      <c r="Q106" s="67"/>
    </row>
    <row r="107" spans="1:17" ht="18" customHeight="1" x14ac:dyDescent="0.35">
      <c r="A107" s="24">
        <v>17</v>
      </c>
      <c r="B107" s="8" t="str">
        <f>'💳 Debt Input'!$A$9</f>
        <v>Rewards Visa</v>
      </c>
      <c r="C107" s="10">
        <f t="shared" si="7"/>
        <v>14772.67</v>
      </c>
      <c r="D107" s="10">
        <f>ROUND(C107*'💳 Debt Input'!$C$9/12,2)</f>
        <v>443.18</v>
      </c>
      <c r="E107" s="10">
        <f>IF(B107="", "", MIN(C107+D107, MAX(P107, $F$3 - SUMIFS(E$10:E106, O$10:O106, O107) - SUMIFS(P108:P$1995, O108:O$1995, O107))))</f>
        <v>555</v>
      </c>
      <c r="F107" s="10">
        <f t="shared" si="4"/>
        <v>14660.85</v>
      </c>
      <c r="G107" s="19" t="str">
        <f t="shared" si="5"/>
        <v>Active</v>
      </c>
      <c r="H107" s="20"/>
      <c r="J107" s="67"/>
      <c r="K107" s="67"/>
      <c r="L107" s="67"/>
      <c r="M107" s="67"/>
      <c r="N107" s="67"/>
      <c r="O107" s="67">
        <f t="shared" si="6"/>
        <v>17</v>
      </c>
      <c r="P107" s="67">
        <f>IF(B107="", 0, IFERROR(MIN(C107+D107, VLOOKUP(B107, '💳 Debt Input'!$A:$G, 4, FALSE)), 0))</f>
        <v>480</v>
      </c>
      <c r="Q107" s="67"/>
    </row>
    <row r="108" spans="1:17" ht="18" customHeight="1" x14ac:dyDescent="0.35">
      <c r="A108" s="19"/>
      <c r="B108" s="8" t="str">
        <f>'💳 Debt Input'!$A$8</f>
        <v>Travel Card</v>
      </c>
      <c r="C108" s="10">
        <f t="shared" si="7"/>
        <v>6579.14</v>
      </c>
      <c r="D108" s="10">
        <f>ROUND(C108*'💳 Debt Input'!$C$8/12,2)</f>
        <v>98.69</v>
      </c>
      <c r="E108" s="10">
        <f>IF(B108="", "", MIN(C108+D108, MAX(P108, $F$3 - SUMIFS(E$10:E107, O$10:O107, O108) - SUMIFS(P109:P$1995, O109:O$1995, O108))))</f>
        <v>270</v>
      </c>
      <c r="F108" s="10">
        <f t="shared" si="4"/>
        <v>6407.83</v>
      </c>
      <c r="G108" s="19" t="str">
        <f t="shared" si="5"/>
        <v>Active</v>
      </c>
      <c r="H108" s="20"/>
      <c r="J108" s="67"/>
      <c r="K108" s="67"/>
      <c r="L108" s="67"/>
      <c r="M108" s="67"/>
      <c r="N108" s="67"/>
      <c r="O108" s="67">
        <f t="shared" si="6"/>
        <v>17</v>
      </c>
      <c r="P108" s="67">
        <f>IF(B108="", 0, IFERROR(MIN(C108+D108, VLOOKUP(B108, '💳 Debt Input'!$A:$G, 4, FALSE)), 0))</f>
        <v>270</v>
      </c>
      <c r="Q108" s="67"/>
    </row>
    <row r="109" spans="1:17" ht="18" customHeight="1" x14ac:dyDescent="0.35">
      <c r="A109" s="19"/>
      <c r="B109" s="8" t="str">
        <f>'💳 Debt Input'!$A$7</f>
        <v>Auto Loan</v>
      </c>
      <c r="C109" s="10">
        <f t="shared" si="7"/>
        <v>2523.19</v>
      </c>
      <c r="D109" s="10">
        <f>ROUND(C109*'💳 Debt Input'!$C$7/12,2)</f>
        <v>21.03</v>
      </c>
      <c r="E109" s="10">
        <f>IF(B109="", "", MIN(C109+D109, MAX(P109, $F$3 - SUMIFS(E$10:E108, O$10:O108, O109) - SUMIFS(P110:P$1995, O110:O$1995, O109))))</f>
        <v>120</v>
      </c>
      <c r="F109" s="10">
        <f t="shared" si="4"/>
        <v>2424.2199999999998</v>
      </c>
      <c r="G109" s="19" t="str">
        <f t="shared" si="5"/>
        <v>Active</v>
      </c>
      <c r="H109" s="20"/>
      <c r="J109" s="67"/>
      <c r="K109" s="67"/>
      <c r="L109" s="67"/>
      <c r="M109" s="67"/>
      <c r="N109" s="67"/>
      <c r="O109" s="67">
        <f t="shared" si="6"/>
        <v>17</v>
      </c>
      <c r="P109" s="67">
        <f>IF(B109="", 0, IFERROR(MIN(C109+D109, VLOOKUP(B109, '💳 Debt Input'!$A:$G, 4, FALSE)), 0))</f>
        <v>120</v>
      </c>
      <c r="Q109" s="67"/>
    </row>
    <row r="110" spans="1:17" ht="18" customHeight="1" x14ac:dyDescent="0.35">
      <c r="A110" s="19"/>
      <c r="B110" s="8" t="str">
        <f>'💳 Debt Input'!$A$6</f>
        <v>Personal Loan</v>
      </c>
      <c r="C110" s="10">
        <f t="shared" si="7"/>
        <v>960.06</v>
      </c>
      <c r="D110" s="10">
        <f>ROUND(C110*'💳 Debt Input'!$C$6/12,2)</f>
        <v>4.8</v>
      </c>
      <c r="E110" s="10">
        <f>IF(B110="", "", MIN(C110+D110, MAX(P110, $F$3 - SUMIFS(E$10:E109, O$10:O109, O110) - SUMIFS(P111:P$1995, O111:O$1995, O110))))</f>
        <v>40</v>
      </c>
      <c r="F110" s="10">
        <f t="shared" si="4"/>
        <v>924.86</v>
      </c>
      <c r="G110" s="19" t="str">
        <f t="shared" si="5"/>
        <v>Active</v>
      </c>
      <c r="H110" s="20"/>
      <c r="J110" s="67"/>
      <c r="K110" s="67"/>
      <c r="L110" s="67"/>
      <c r="M110" s="67"/>
      <c r="N110" s="67"/>
      <c r="O110" s="67">
        <f t="shared" si="6"/>
        <v>17</v>
      </c>
      <c r="P110" s="67">
        <f>IF(B110="", 0, IFERROR(MIN(C110+D110, VLOOKUP(B110, '💳 Debt Input'!$A:$G, 4, FALSE)), 0))</f>
        <v>40</v>
      </c>
      <c r="Q110" s="67"/>
    </row>
    <row r="111" spans="1:17" ht="18" customHeight="1" x14ac:dyDescent="0.35">
      <c r="A111" s="19"/>
      <c r="B111" s="8" t="str">
        <f>'💳 Debt Input'!$A$5</f>
        <v>Medical Bill</v>
      </c>
      <c r="C111" s="10">
        <f t="shared" si="7"/>
        <v>117.21</v>
      </c>
      <c r="D111" s="10">
        <f>ROUND(C111*'💳 Debt Input'!$C$5/12,2)</f>
        <v>0.39</v>
      </c>
      <c r="E111" s="10">
        <f>IF(B111="", "", MIN(C111+D111, MAX(P111, $F$3 - SUMIFS(E$10:E110, O$10:O110, O111) - SUMIFS(P112:P$1995, O112:O$1995, O111))))</f>
        <v>25</v>
      </c>
      <c r="F111" s="10">
        <f t="shared" si="4"/>
        <v>92.6</v>
      </c>
      <c r="G111" s="19" t="str">
        <f t="shared" si="5"/>
        <v>Active</v>
      </c>
      <c r="H111" s="20"/>
      <c r="J111" s="67"/>
      <c r="K111" s="67"/>
      <c r="L111" s="67"/>
      <c r="M111" s="67"/>
      <c r="N111" s="67"/>
      <c r="O111" s="67">
        <f t="shared" si="6"/>
        <v>17</v>
      </c>
      <c r="P111" s="67">
        <f>IF(B111="", 0, IFERROR(MIN(C111+D111, VLOOKUP(B111, '💳 Debt Input'!$A:$G, 4, FALSE)), 0))</f>
        <v>25</v>
      </c>
      <c r="Q111" s="67"/>
    </row>
    <row r="112" spans="1:17" ht="18" customHeight="1" x14ac:dyDescent="0.35">
      <c r="A112" s="28"/>
      <c r="B112" s="26" t="str">
        <f>'💳 Debt Input'!$A$4</f>
        <v>Store Card</v>
      </c>
      <c r="C112" s="27">
        <f t="shared" si="7"/>
        <v>0</v>
      </c>
      <c r="D112" s="27">
        <f>ROUND(C112*'💳 Debt Input'!$C$4/12,2)</f>
        <v>0</v>
      </c>
      <c r="E112" s="27">
        <f>IF(B112="", "", MIN(C112+D112, MAX(P112, $F$3 - SUMIFS(E$10:E111, O$10:O111, O112) - SUMIFS(P113:P$1995, O113:O$1995, O112))))</f>
        <v>0</v>
      </c>
      <c r="F112" s="27">
        <f t="shared" si="4"/>
        <v>0</v>
      </c>
      <c r="G112" s="28" t="str">
        <f t="shared" si="5"/>
        <v>Paid off</v>
      </c>
      <c r="H112" s="29"/>
      <c r="J112" s="67"/>
      <c r="K112" s="67"/>
      <c r="L112" s="67"/>
      <c r="M112" s="67"/>
      <c r="N112" s="67"/>
      <c r="O112" s="67">
        <f t="shared" si="6"/>
        <v>17</v>
      </c>
      <c r="P112" s="67">
        <f>IF(B112="", 0, IFERROR(MIN(C112+D112, VLOOKUP(B112, '💳 Debt Input'!$A:$G, 4, FALSE)), 0))</f>
        <v>0</v>
      </c>
      <c r="Q112" s="67"/>
    </row>
    <row r="113" spans="1:17" ht="18" customHeight="1" x14ac:dyDescent="0.35">
      <c r="A113" s="21">
        <v>18</v>
      </c>
      <c r="B113" s="6" t="str">
        <f>'💳 Debt Input'!$A$9</f>
        <v>Rewards Visa</v>
      </c>
      <c r="C113" s="12">
        <f t="shared" si="7"/>
        <v>14660.85</v>
      </c>
      <c r="D113" s="12">
        <f>ROUND(C113*'💳 Debt Input'!$C$9/12,2)</f>
        <v>439.83</v>
      </c>
      <c r="E113" s="12">
        <f>IF(B113="", "", MIN(C113+D113, MAX(P113, $F$3 - SUMIFS(E$10:E112, O$10:O112, O113) - SUMIFS(P114:P$1995, O114:O$1995, O113))))</f>
        <v>555</v>
      </c>
      <c r="F113" s="12">
        <f t="shared" si="4"/>
        <v>14545.68</v>
      </c>
      <c r="G113" s="22" t="str">
        <f t="shared" si="5"/>
        <v>Active</v>
      </c>
      <c r="H113" s="23"/>
      <c r="J113" s="67"/>
      <c r="K113" s="67"/>
      <c r="L113" s="67"/>
      <c r="M113" s="67"/>
      <c r="N113" s="67"/>
      <c r="O113" s="67">
        <f t="shared" si="6"/>
        <v>18</v>
      </c>
      <c r="P113" s="67">
        <f>IF(B113="", 0, IFERROR(MIN(C113+D113, VLOOKUP(B113, '💳 Debt Input'!$A:$G, 4, FALSE)), 0))</f>
        <v>480</v>
      </c>
      <c r="Q113" s="67"/>
    </row>
    <row r="114" spans="1:17" ht="18" customHeight="1" x14ac:dyDescent="0.35">
      <c r="A114" s="22"/>
      <c r="B114" s="6" t="str">
        <f>'💳 Debt Input'!$A$8</f>
        <v>Travel Card</v>
      </c>
      <c r="C114" s="12">
        <f t="shared" si="7"/>
        <v>6407.83</v>
      </c>
      <c r="D114" s="12">
        <f>ROUND(C114*'💳 Debt Input'!$C$8/12,2)</f>
        <v>96.12</v>
      </c>
      <c r="E114" s="12">
        <f>IF(B114="", "", MIN(C114+D114, MAX(P114, $F$3 - SUMIFS(E$10:E113, O$10:O113, O114) - SUMIFS(P115:P$1995, O115:O$1995, O114))))</f>
        <v>270</v>
      </c>
      <c r="F114" s="12">
        <f t="shared" si="4"/>
        <v>6233.95</v>
      </c>
      <c r="G114" s="22" t="str">
        <f t="shared" si="5"/>
        <v>Active</v>
      </c>
      <c r="H114" s="23"/>
      <c r="J114" s="67"/>
      <c r="K114" s="67"/>
      <c r="L114" s="67"/>
      <c r="M114" s="67"/>
      <c r="N114" s="67"/>
      <c r="O114" s="67">
        <f t="shared" si="6"/>
        <v>18</v>
      </c>
      <c r="P114" s="67">
        <f>IF(B114="", 0, IFERROR(MIN(C114+D114, VLOOKUP(B114, '💳 Debt Input'!$A:$G, 4, FALSE)), 0))</f>
        <v>270</v>
      </c>
      <c r="Q114" s="67"/>
    </row>
    <row r="115" spans="1:17" ht="18" customHeight="1" x14ac:dyDescent="0.35">
      <c r="A115" s="22"/>
      <c r="B115" s="6" t="str">
        <f>'💳 Debt Input'!$A$7</f>
        <v>Auto Loan</v>
      </c>
      <c r="C115" s="12">
        <f t="shared" si="7"/>
        <v>2424.2199999999998</v>
      </c>
      <c r="D115" s="12">
        <f>ROUND(C115*'💳 Debt Input'!$C$7/12,2)</f>
        <v>20.2</v>
      </c>
      <c r="E115" s="12">
        <f>IF(B115="", "", MIN(C115+D115, MAX(P115, $F$3 - SUMIFS(E$10:E114, O$10:O114, O115) - SUMIFS(P116:P$1995, O116:O$1995, O115))))</f>
        <v>120</v>
      </c>
      <c r="F115" s="12">
        <f t="shared" si="4"/>
        <v>2324.42</v>
      </c>
      <c r="G115" s="22" t="str">
        <f t="shared" si="5"/>
        <v>Active</v>
      </c>
      <c r="H115" s="23"/>
      <c r="J115" s="67"/>
      <c r="K115" s="67"/>
      <c r="L115" s="67"/>
      <c r="M115" s="67"/>
      <c r="N115" s="67"/>
      <c r="O115" s="67">
        <f t="shared" si="6"/>
        <v>18</v>
      </c>
      <c r="P115" s="67">
        <f>IF(B115="", 0, IFERROR(MIN(C115+D115, VLOOKUP(B115, '💳 Debt Input'!$A:$G, 4, FALSE)), 0))</f>
        <v>120</v>
      </c>
      <c r="Q115" s="67"/>
    </row>
    <row r="116" spans="1:17" ht="18" customHeight="1" x14ac:dyDescent="0.35">
      <c r="A116" s="22"/>
      <c r="B116" s="6" t="str">
        <f>'💳 Debt Input'!$A$6</f>
        <v>Personal Loan</v>
      </c>
      <c r="C116" s="12">
        <f t="shared" si="7"/>
        <v>924.86</v>
      </c>
      <c r="D116" s="12">
        <f>ROUND(C116*'💳 Debt Input'!$C$6/12,2)</f>
        <v>4.62</v>
      </c>
      <c r="E116" s="12">
        <f>IF(B116="", "", MIN(C116+D116, MAX(P116, $F$3 - SUMIFS(E$10:E115, O$10:O115, O116) - SUMIFS(P117:P$1995, O117:O$1995, O116))))</f>
        <v>40</v>
      </c>
      <c r="F116" s="12">
        <f t="shared" si="4"/>
        <v>889.48</v>
      </c>
      <c r="G116" s="22" t="str">
        <f t="shared" si="5"/>
        <v>Active</v>
      </c>
      <c r="H116" s="23"/>
      <c r="J116" s="67"/>
      <c r="K116" s="67"/>
      <c r="L116" s="67"/>
      <c r="M116" s="67"/>
      <c r="N116" s="67"/>
      <c r="O116" s="67">
        <f t="shared" si="6"/>
        <v>18</v>
      </c>
      <c r="P116" s="67">
        <f>IF(B116="", 0, IFERROR(MIN(C116+D116, VLOOKUP(B116, '💳 Debt Input'!$A:$G, 4, FALSE)), 0))</f>
        <v>40</v>
      </c>
      <c r="Q116" s="67"/>
    </row>
    <row r="117" spans="1:17" ht="18" customHeight="1" x14ac:dyDescent="0.35">
      <c r="A117" s="22"/>
      <c r="B117" s="6" t="str">
        <f>'💳 Debt Input'!$A$5</f>
        <v>Medical Bill</v>
      </c>
      <c r="C117" s="12">
        <f t="shared" si="7"/>
        <v>92.6</v>
      </c>
      <c r="D117" s="12">
        <f>ROUND(C117*'💳 Debt Input'!$C$5/12,2)</f>
        <v>0.31</v>
      </c>
      <c r="E117" s="12">
        <f>IF(B117="", "", MIN(C117+D117, MAX(P117, $F$3 - SUMIFS(E$10:E116, O$10:O116, O117) - SUMIFS(P118:P$1995, O118:O$1995, O117))))</f>
        <v>25</v>
      </c>
      <c r="F117" s="12">
        <f t="shared" si="4"/>
        <v>67.91</v>
      </c>
      <c r="G117" s="22" t="str">
        <f t="shared" si="5"/>
        <v>Active</v>
      </c>
      <c r="H117" s="23"/>
      <c r="J117" s="67"/>
      <c r="K117" s="67"/>
      <c r="L117" s="67"/>
      <c r="M117" s="67"/>
      <c r="N117" s="67"/>
      <c r="O117" s="67">
        <f t="shared" si="6"/>
        <v>18</v>
      </c>
      <c r="P117" s="67">
        <f>IF(B117="", 0, IFERROR(MIN(C117+D117, VLOOKUP(B117, '💳 Debt Input'!$A:$G, 4, FALSE)), 0))</f>
        <v>25</v>
      </c>
      <c r="Q117" s="67"/>
    </row>
    <row r="118" spans="1:17" ht="18" customHeight="1" x14ac:dyDescent="0.35">
      <c r="A118" s="28"/>
      <c r="B118" s="26" t="str">
        <f>'💳 Debt Input'!$A$4</f>
        <v>Store Card</v>
      </c>
      <c r="C118" s="27">
        <f t="shared" si="7"/>
        <v>0</v>
      </c>
      <c r="D118" s="27">
        <f>ROUND(C118*'💳 Debt Input'!$C$4/12,2)</f>
        <v>0</v>
      </c>
      <c r="E118" s="27">
        <f>IF(B118="", "", MIN(C118+D118, MAX(P118, $F$3 - SUMIFS(E$10:E117, O$10:O117, O118) - SUMIFS(P119:P$1995, O119:O$1995, O118))))</f>
        <v>0</v>
      </c>
      <c r="F118" s="27">
        <f t="shared" si="4"/>
        <v>0</v>
      </c>
      <c r="G118" s="28" t="str">
        <f t="shared" si="5"/>
        <v>Paid off</v>
      </c>
      <c r="H118" s="29"/>
      <c r="J118" s="67"/>
      <c r="K118" s="67"/>
      <c r="L118" s="67"/>
      <c r="M118" s="67"/>
      <c r="N118" s="67"/>
      <c r="O118" s="67">
        <f t="shared" si="6"/>
        <v>18</v>
      </c>
      <c r="P118" s="67">
        <f>IF(B118="", 0, IFERROR(MIN(C118+D118, VLOOKUP(B118, '💳 Debt Input'!$A:$G, 4, FALSE)), 0))</f>
        <v>0</v>
      </c>
      <c r="Q118" s="67"/>
    </row>
    <row r="119" spans="1:17" ht="18" customHeight="1" x14ac:dyDescent="0.35">
      <c r="A119" s="24">
        <v>19</v>
      </c>
      <c r="B119" s="8" t="str">
        <f>'💳 Debt Input'!$A$9</f>
        <v>Rewards Visa</v>
      </c>
      <c r="C119" s="10">
        <f t="shared" si="7"/>
        <v>14545.68</v>
      </c>
      <c r="D119" s="10">
        <f>ROUND(C119*'💳 Debt Input'!$C$9/12,2)</f>
        <v>436.37</v>
      </c>
      <c r="E119" s="10">
        <f>IF(B119="", "", MIN(C119+D119, MAX(P119, $F$3 - SUMIFS(E$10:E118, O$10:O118, O119) - SUMIFS(P120:P$1995, O120:O$1995, O119))))</f>
        <v>555</v>
      </c>
      <c r="F119" s="10">
        <f t="shared" si="4"/>
        <v>14427.05</v>
      </c>
      <c r="G119" s="19" t="str">
        <f t="shared" si="5"/>
        <v>Active</v>
      </c>
      <c r="H119" s="20"/>
      <c r="J119" s="67"/>
      <c r="K119" s="67"/>
      <c r="L119" s="67"/>
      <c r="M119" s="67"/>
      <c r="N119" s="67"/>
      <c r="O119" s="67">
        <f t="shared" si="6"/>
        <v>19</v>
      </c>
      <c r="P119" s="67">
        <f>IF(B119="", 0, IFERROR(MIN(C119+D119, VLOOKUP(B119, '💳 Debt Input'!$A:$G, 4, FALSE)), 0))</f>
        <v>480</v>
      </c>
      <c r="Q119" s="67"/>
    </row>
    <row r="120" spans="1:17" ht="18" customHeight="1" x14ac:dyDescent="0.35">
      <c r="A120" s="19"/>
      <c r="B120" s="8" t="str">
        <f>'💳 Debt Input'!$A$8</f>
        <v>Travel Card</v>
      </c>
      <c r="C120" s="10">
        <f t="shared" si="7"/>
        <v>6233.95</v>
      </c>
      <c r="D120" s="10">
        <f>ROUND(C120*'💳 Debt Input'!$C$8/12,2)</f>
        <v>93.51</v>
      </c>
      <c r="E120" s="10">
        <f>IF(B120="", "", MIN(C120+D120, MAX(P120, $F$3 - SUMIFS(E$10:E119, O$10:O119, O120) - SUMIFS(P121:P$1995, O121:O$1995, O120))))</f>
        <v>270</v>
      </c>
      <c r="F120" s="10">
        <f t="shared" si="4"/>
        <v>6057.46</v>
      </c>
      <c r="G120" s="19" t="str">
        <f t="shared" si="5"/>
        <v>Active</v>
      </c>
      <c r="H120" s="20"/>
      <c r="J120" s="67"/>
      <c r="K120" s="67"/>
      <c r="L120" s="67"/>
      <c r="M120" s="67"/>
      <c r="N120" s="67"/>
      <c r="O120" s="67">
        <f t="shared" si="6"/>
        <v>19</v>
      </c>
      <c r="P120" s="67">
        <f>IF(B120="", 0, IFERROR(MIN(C120+D120, VLOOKUP(B120, '💳 Debt Input'!$A:$G, 4, FALSE)), 0))</f>
        <v>270</v>
      </c>
      <c r="Q120" s="67"/>
    </row>
    <row r="121" spans="1:17" ht="18" customHeight="1" x14ac:dyDescent="0.35">
      <c r="A121" s="19"/>
      <c r="B121" s="8" t="str">
        <f>'💳 Debt Input'!$A$7</f>
        <v>Auto Loan</v>
      </c>
      <c r="C121" s="10">
        <f t="shared" si="7"/>
        <v>2324.42</v>
      </c>
      <c r="D121" s="10">
        <f>ROUND(C121*'💳 Debt Input'!$C$7/12,2)</f>
        <v>19.37</v>
      </c>
      <c r="E121" s="10">
        <f>IF(B121="", "", MIN(C121+D121, MAX(P121, $F$3 - SUMIFS(E$10:E120, O$10:O120, O121) - SUMIFS(P122:P$1995, O122:O$1995, O121))))</f>
        <v>120</v>
      </c>
      <c r="F121" s="10">
        <f t="shared" si="4"/>
        <v>2223.79</v>
      </c>
      <c r="G121" s="19" t="str">
        <f t="shared" si="5"/>
        <v>Active</v>
      </c>
      <c r="H121" s="20"/>
      <c r="J121" s="67"/>
      <c r="K121" s="67"/>
      <c r="L121" s="67"/>
      <c r="M121" s="67"/>
      <c r="N121" s="67"/>
      <c r="O121" s="67">
        <f t="shared" si="6"/>
        <v>19</v>
      </c>
      <c r="P121" s="67">
        <f>IF(B121="", 0, IFERROR(MIN(C121+D121, VLOOKUP(B121, '💳 Debt Input'!$A:$G, 4, FALSE)), 0))</f>
        <v>120</v>
      </c>
      <c r="Q121" s="67"/>
    </row>
    <row r="122" spans="1:17" ht="18" customHeight="1" x14ac:dyDescent="0.35">
      <c r="A122" s="19"/>
      <c r="B122" s="8" t="str">
        <f>'💳 Debt Input'!$A$6</f>
        <v>Personal Loan</v>
      </c>
      <c r="C122" s="10">
        <f t="shared" si="7"/>
        <v>889.48</v>
      </c>
      <c r="D122" s="10">
        <f>ROUND(C122*'💳 Debt Input'!$C$6/12,2)</f>
        <v>4.45</v>
      </c>
      <c r="E122" s="10">
        <f>IF(B122="", "", MIN(C122+D122, MAX(P122, $F$3 - SUMIFS(E$10:E121, O$10:O121, O122) - SUMIFS(P123:P$1995, O123:O$1995, O122))))</f>
        <v>40</v>
      </c>
      <c r="F122" s="10">
        <f t="shared" si="4"/>
        <v>853.93</v>
      </c>
      <c r="G122" s="19" t="str">
        <f t="shared" si="5"/>
        <v>Active</v>
      </c>
      <c r="H122" s="20"/>
      <c r="J122" s="67"/>
      <c r="K122" s="67"/>
      <c r="L122" s="67"/>
      <c r="M122" s="67"/>
      <c r="N122" s="67"/>
      <c r="O122" s="67">
        <f t="shared" si="6"/>
        <v>19</v>
      </c>
      <c r="P122" s="67">
        <f>IF(B122="", 0, IFERROR(MIN(C122+D122, VLOOKUP(B122, '💳 Debt Input'!$A:$G, 4, FALSE)), 0))</f>
        <v>40</v>
      </c>
      <c r="Q122" s="67"/>
    </row>
    <row r="123" spans="1:17" ht="18" customHeight="1" x14ac:dyDescent="0.35">
      <c r="A123" s="19"/>
      <c r="B123" s="8" t="str">
        <f>'💳 Debt Input'!$A$5</f>
        <v>Medical Bill</v>
      </c>
      <c r="C123" s="10">
        <f t="shared" si="7"/>
        <v>67.91</v>
      </c>
      <c r="D123" s="10">
        <f>ROUND(C123*'💳 Debt Input'!$C$5/12,2)</f>
        <v>0.23</v>
      </c>
      <c r="E123" s="10">
        <f>IF(B123="", "", MIN(C123+D123, MAX(P123, $F$3 - SUMIFS(E$10:E122, O$10:O122, O123) - SUMIFS(P124:P$1995, O124:O$1995, O123))))</f>
        <v>25</v>
      </c>
      <c r="F123" s="10">
        <f t="shared" si="4"/>
        <v>43.14</v>
      </c>
      <c r="G123" s="19" t="str">
        <f t="shared" si="5"/>
        <v>Active</v>
      </c>
      <c r="H123" s="20"/>
      <c r="J123" s="67"/>
      <c r="K123" s="67"/>
      <c r="L123" s="67"/>
      <c r="M123" s="67"/>
      <c r="N123" s="67"/>
      <c r="O123" s="67">
        <f t="shared" si="6"/>
        <v>19</v>
      </c>
      <c r="P123" s="67">
        <f>IF(B123="", 0, IFERROR(MIN(C123+D123, VLOOKUP(B123, '💳 Debt Input'!$A:$G, 4, FALSE)), 0))</f>
        <v>25</v>
      </c>
      <c r="Q123" s="67"/>
    </row>
    <row r="124" spans="1:17" ht="18" customHeight="1" x14ac:dyDescent="0.35">
      <c r="A124" s="28"/>
      <c r="B124" s="26" t="str">
        <f>'💳 Debt Input'!$A$4</f>
        <v>Store Card</v>
      </c>
      <c r="C124" s="27">
        <f t="shared" si="7"/>
        <v>0</v>
      </c>
      <c r="D124" s="27">
        <f>ROUND(C124*'💳 Debt Input'!$C$4/12,2)</f>
        <v>0</v>
      </c>
      <c r="E124" s="27">
        <f>IF(B124="", "", MIN(C124+D124, MAX(P124, $F$3 - SUMIFS(E$10:E123, O$10:O123, O124) - SUMIFS(P125:P$1995, O125:O$1995, O124))))</f>
        <v>0</v>
      </c>
      <c r="F124" s="27">
        <f t="shared" si="4"/>
        <v>0</v>
      </c>
      <c r="G124" s="28" t="str">
        <f t="shared" si="5"/>
        <v>Paid off</v>
      </c>
      <c r="H124" s="29"/>
      <c r="J124" s="67"/>
      <c r="K124" s="67"/>
      <c r="L124" s="67"/>
      <c r="M124" s="67"/>
      <c r="N124" s="67"/>
      <c r="O124" s="67">
        <f t="shared" si="6"/>
        <v>19</v>
      </c>
      <c r="P124" s="67">
        <f>IF(B124="", 0, IFERROR(MIN(C124+D124, VLOOKUP(B124, '💳 Debt Input'!$A:$G, 4, FALSE)), 0))</f>
        <v>0</v>
      </c>
      <c r="Q124" s="67"/>
    </row>
    <row r="125" spans="1:17" ht="18" customHeight="1" x14ac:dyDescent="0.35">
      <c r="A125" s="21">
        <v>20</v>
      </c>
      <c r="B125" s="6" t="str">
        <f>'💳 Debt Input'!$A$9</f>
        <v>Rewards Visa</v>
      </c>
      <c r="C125" s="12">
        <f t="shared" si="7"/>
        <v>14427.05</v>
      </c>
      <c r="D125" s="12">
        <f>ROUND(C125*'💳 Debt Input'!$C$9/12,2)</f>
        <v>432.81</v>
      </c>
      <c r="E125" s="12">
        <f>IF(B125="", "", MIN(C125+D125, MAX(P125, $F$3 - SUMIFS(E$10:E124, O$10:O124, O125) - SUMIFS(P126:P$1995, O126:O$1995, O125))))</f>
        <v>555</v>
      </c>
      <c r="F125" s="12">
        <f t="shared" si="4"/>
        <v>14304.86</v>
      </c>
      <c r="G125" s="22" t="str">
        <f t="shared" si="5"/>
        <v>Active</v>
      </c>
      <c r="H125" s="23"/>
      <c r="J125" s="67"/>
      <c r="K125" s="67"/>
      <c r="L125" s="67"/>
      <c r="M125" s="67"/>
      <c r="N125" s="67"/>
      <c r="O125" s="67">
        <f t="shared" si="6"/>
        <v>20</v>
      </c>
      <c r="P125" s="67">
        <f>IF(B125="", 0, IFERROR(MIN(C125+D125, VLOOKUP(B125, '💳 Debt Input'!$A:$G, 4, FALSE)), 0))</f>
        <v>480</v>
      </c>
      <c r="Q125" s="67"/>
    </row>
    <row r="126" spans="1:17" ht="18" customHeight="1" x14ac:dyDescent="0.35">
      <c r="A126" s="22"/>
      <c r="B126" s="6" t="str">
        <f>'💳 Debt Input'!$A$8</f>
        <v>Travel Card</v>
      </c>
      <c r="C126" s="12">
        <f t="shared" si="7"/>
        <v>6057.46</v>
      </c>
      <c r="D126" s="12">
        <f>ROUND(C126*'💳 Debt Input'!$C$8/12,2)</f>
        <v>90.86</v>
      </c>
      <c r="E126" s="12">
        <f>IF(B126="", "", MIN(C126+D126, MAX(P126, $F$3 - SUMIFS(E$10:E125, O$10:O125, O126) - SUMIFS(P127:P$1995, O127:O$1995, O126))))</f>
        <v>270</v>
      </c>
      <c r="F126" s="12">
        <f t="shared" si="4"/>
        <v>5878.32</v>
      </c>
      <c r="G126" s="22" t="str">
        <f t="shared" si="5"/>
        <v>Active</v>
      </c>
      <c r="H126" s="23"/>
      <c r="J126" s="67"/>
      <c r="K126" s="67"/>
      <c r="L126" s="67"/>
      <c r="M126" s="67"/>
      <c r="N126" s="67"/>
      <c r="O126" s="67">
        <f t="shared" si="6"/>
        <v>20</v>
      </c>
      <c r="P126" s="67">
        <f>IF(B126="", 0, IFERROR(MIN(C126+D126, VLOOKUP(B126, '💳 Debt Input'!$A:$G, 4, FALSE)), 0))</f>
        <v>270</v>
      </c>
      <c r="Q126" s="67"/>
    </row>
    <row r="127" spans="1:17" ht="18" customHeight="1" x14ac:dyDescent="0.35">
      <c r="A127" s="22"/>
      <c r="B127" s="6" t="str">
        <f>'💳 Debt Input'!$A$7</f>
        <v>Auto Loan</v>
      </c>
      <c r="C127" s="12">
        <f t="shared" si="7"/>
        <v>2223.79</v>
      </c>
      <c r="D127" s="12">
        <f>ROUND(C127*'💳 Debt Input'!$C$7/12,2)</f>
        <v>18.53</v>
      </c>
      <c r="E127" s="12">
        <f>IF(B127="", "", MIN(C127+D127, MAX(P127, $F$3 - SUMIFS(E$10:E126, O$10:O126, O127) - SUMIFS(P128:P$1995, O128:O$1995, O127))))</f>
        <v>120</v>
      </c>
      <c r="F127" s="12">
        <f t="shared" si="4"/>
        <v>2122.3200000000002</v>
      </c>
      <c r="G127" s="22" t="str">
        <f t="shared" si="5"/>
        <v>Active</v>
      </c>
      <c r="H127" s="23"/>
      <c r="J127" s="67"/>
      <c r="K127" s="67"/>
      <c r="L127" s="67"/>
      <c r="M127" s="67"/>
      <c r="N127" s="67"/>
      <c r="O127" s="67">
        <f t="shared" si="6"/>
        <v>20</v>
      </c>
      <c r="P127" s="67">
        <f>IF(B127="", 0, IFERROR(MIN(C127+D127, VLOOKUP(B127, '💳 Debt Input'!$A:$G, 4, FALSE)), 0))</f>
        <v>120</v>
      </c>
      <c r="Q127" s="67"/>
    </row>
    <row r="128" spans="1:17" ht="18" customHeight="1" x14ac:dyDescent="0.35">
      <c r="A128" s="22"/>
      <c r="B128" s="6" t="str">
        <f>'💳 Debt Input'!$A$6</f>
        <v>Personal Loan</v>
      </c>
      <c r="C128" s="12">
        <f t="shared" si="7"/>
        <v>853.93</v>
      </c>
      <c r="D128" s="12">
        <f>ROUND(C128*'💳 Debt Input'!$C$6/12,2)</f>
        <v>4.2699999999999996</v>
      </c>
      <c r="E128" s="12">
        <f>IF(B128="", "", MIN(C128+D128, MAX(P128, $F$3 - SUMIFS(E$10:E127, O$10:O127, O128) - SUMIFS(P129:P$1995, O129:O$1995, O128))))</f>
        <v>40</v>
      </c>
      <c r="F128" s="12">
        <f t="shared" si="4"/>
        <v>818.2</v>
      </c>
      <c r="G128" s="22" t="str">
        <f t="shared" si="5"/>
        <v>Active</v>
      </c>
      <c r="H128" s="23"/>
      <c r="J128" s="67"/>
      <c r="K128" s="67"/>
      <c r="L128" s="67"/>
      <c r="M128" s="67"/>
      <c r="N128" s="67"/>
      <c r="O128" s="67">
        <f t="shared" si="6"/>
        <v>20</v>
      </c>
      <c r="P128" s="67">
        <f>IF(B128="", 0, IFERROR(MIN(C128+D128, VLOOKUP(B128, '💳 Debt Input'!$A:$G, 4, FALSE)), 0))</f>
        <v>40</v>
      </c>
      <c r="Q128" s="67"/>
    </row>
    <row r="129" spans="1:17" ht="18" customHeight="1" x14ac:dyDescent="0.35">
      <c r="A129" s="22"/>
      <c r="B129" s="6" t="str">
        <f>'💳 Debt Input'!$A$5</f>
        <v>Medical Bill</v>
      </c>
      <c r="C129" s="12">
        <f t="shared" si="7"/>
        <v>43.14</v>
      </c>
      <c r="D129" s="12">
        <f>ROUND(C129*'💳 Debt Input'!$C$5/12,2)</f>
        <v>0.14000000000000001</v>
      </c>
      <c r="E129" s="12">
        <f>IF(B129="", "", MIN(C129+D129, MAX(P129, $F$3 - SUMIFS(E$10:E128, O$10:O128, O129) - SUMIFS(P130:P$1995, O130:O$1995, O129))))</f>
        <v>25</v>
      </c>
      <c r="F129" s="12">
        <f t="shared" si="4"/>
        <v>18.28</v>
      </c>
      <c r="G129" s="22" t="str">
        <f t="shared" si="5"/>
        <v>Active</v>
      </c>
      <c r="H129" s="23"/>
      <c r="J129" s="67"/>
      <c r="K129" s="67"/>
      <c r="L129" s="67"/>
      <c r="M129" s="67"/>
      <c r="N129" s="67"/>
      <c r="O129" s="67">
        <f t="shared" si="6"/>
        <v>20</v>
      </c>
      <c r="P129" s="67">
        <f>IF(B129="", 0, IFERROR(MIN(C129+D129, VLOOKUP(B129, '💳 Debt Input'!$A:$G, 4, FALSE)), 0))</f>
        <v>25</v>
      </c>
      <c r="Q129" s="67"/>
    </row>
    <row r="130" spans="1:17" ht="18" customHeight="1" x14ac:dyDescent="0.35">
      <c r="A130" s="28"/>
      <c r="B130" s="26" t="str">
        <f>'💳 Debt Input'!$A$4</f>
        <v>Store Card</v>
      </c>
      <c r="C130" s="27">
        <f t="shared" si="7"/>
        <v>0</v>
      </c>
      <c r="D130" s="27">
        <f>ROUND(C130*'💳 Debt Input'!$C$4/12,2)</f>
        <v>0</v>
      </c>
      <c r="E130" s="27">
        <f>IF(B130="", "", MIN(C130+D130, MAX(P130, $F$3 - SUMIFS(E$10:E129, O$10:O129, O130) - SUMIFS(P131:P$1995, O131:O$1995, O130))))</f>
        <v>0</v>
      </c>
      <c r="F130" s="27">
        <f t="shared" si="4"/>
        <v>0</v>
      </c>
      <c r="G130" s="28" t="str">
        <f t="shared" si="5"/>
        <v>Paid off</v>
      </c>
      <c r="H130" s="29"/>
      <c r="J130" s="67"/>
      <c r="K130" s="67"/>
      <c r="L130" s="67"/>
      <c r="M130" s="67"/>
      <c r="N130" s="67"/>
      <c r="O130" s="67">
        <f t="shared" si="6"/>
        <v>20</v>
      </c>
      <c r="P130" s="67">
        <f>IF(B130="", 0, IFERROR(MIN(C130+D130, VLOOKUP(B130, '💳 Debt Input'!$A:$G, 4, FALSE)), 0))</f>
        <v>0</v>
      </c>
      <c r="Q130" s="67"/>
    </row>
    <row r="131" spans="1:17" ht="18" customHeight="1" x14ac:dyDescent="0.35">
      <c r="A131" s="24">
        <v>21</v>
      </c>
      <c r="B131" s="8" t="str">
        <f>'💳 Debt Input'!$A$9</f>
        <v>Rewards Visa</v>
      </c>
      <c r="C131" s="10">
        <f t="shared" si="7"/>
        <v>14304.86</v>
      </c>
      <c r="D131" s="10">
        <f>ROUND(C131*'💳 Debt Input'!$C$9/12,2)</f>
        <v>429.15</v>
      </c>
      <c r="E131" s="10">
        <f>IF(B131="", "", MIN(C131+D131, MAX(P131, $F$3 - SUMIFS(E$10:E130, O$10:O130, O131) - SUMIFS(P132:P$1995, O132:O$1995, O131))))</f>
        <v>561.66000000000008</v>
      </c>
      <c r="F131" s="10">
        <f t="shared" si="4"/>
        <v>14172.35</v>
      </c>
      <c r="G131" s="19" t="str">
        <f t="shared" si="5"/>
        <v>Active</v>
      </c>
      <c r="H131" s="20"/>
      <c r="J131" s="67"/>
      <c r="K131" s="67"/>
      <c r="L131" s="67"/>
      <c r="M131" s="67"/>
      <c r="N131" s="67"/>
      <c r="O131" s="67">
        <f t="shared" si="6"/>
        <v>21</v>
      </c>
      <c r="P131" s="67">
        <f>IF(B131="", 0, IFERROR(MIN(C131+D131, VLOOKUP(B131, '💳 Debt Input'!$A:$G, 4, FALSE)), 0))</f>
        <v>480</v>
      </c>
      <c r="Q131" s="67"/>
    </row>
    <row r="132" spans="1:17" ht="18" customHeight="1" x14ac:dyDescent="0.35">
      <c r="A132" s="19"/>
      <c r="B132" s="8" t="str">
        <f>'💳 Debt Input'!$A$8</f>
        <v>Travel Card</v>
      </c>
      <c r="C132" s="10">
        <f t="shared" si="7"/>
        <v>5878.32</v>
      </c>
      <c r="D132" s="10">
        <f>ROUND(C132*'💳 Debt Input'!$C$8/12,2)</f>
        <v>88.17</v>
      </c>
      <c r="E132" s="10">
        <f>IF(B132="", "", MIN(C132+D132, MAX(P132, $F$3 - SUMIFS(E$10:E131, O$10:O131, O132) - SUMIFS(P133:P$1995, O133:O$1995, O132))))</f>
        <v>270</v>
      </c>
      <c r="F132" s="10">
        <f t="shared" si="4"/>
        <v>5696.49</v>
      </c>
      <c r="G132" s="19" t="str">
        <f t="shared" si="5"/>
        <v>Active</v>
      </c>
      <c r="H132" s="20"/>
      <c r="J132" s="67"/>
      <c r="K132" s="67"/>
      <c r="L132" s="67"/>
      <c r="M132" s="67"/>
      <c r="N132" s="67"/>
      <c r="O132" s="67">
        <f t="shared" si="6"/>
        <v>21</v>
      </c>
      <c r="P132" s="67">
        <f>IF(B132="", 0, IFERROR(MIN(C132+D132, VLOOKUP(B132, '💳 Debt Input'!$A:$G, 4, FALSE)), 0))</f>
        <v>270</v>
      </c>
      <c r="Q132" s="67"/>
    </row>
    <row r="133" spans="1:17" ht="18" customHeight="1" x14ac:dyDescent="0.35">
      <c r="A133" s="19"/>
      <c r="B133" s="8" t="str">
        <f>'💳 Debt Input'!$A$7</f>
        <v>Auto Loan</v>
      </c>
      <c r="C133" s="10">
        <f t="shared" si="7"/>
        <v>2122.3200000000002</v>
      </c>
      <c r="D133" s="10">
        <f>ROUND(C133*'💳 Debt Input'!$C$7/12,2)</f>
        <v>17.690000000000001</v>
      </c>
      <c r="E133" s="10">
        <f>IF(B133="", "", MIN(C133+D133, MAX(P133, $F$3 - SUMIFS(E$10:E132, O$10:O132, O133) - SUMIFS(P134:P$1995, O134:O$1995, O133))))</f>
        <v>120</v>
      </c>
      <c r="F133" s="10">
        <f t="shared" si="4"/>
        <v>2020.01</v>
      </c>
      <c r="G133" s="19" t="str">
        <f t="shared" si="5"/>
        <v>Active</v>
      </c>
      <c r="H133" s="20"/>
      <c r="J133" s="67"/>
      <c r="K133" s="67"/>
      <c r="L133" s="67"/>
      <c r="M133" s="67"/>
      <c r="N133" s="67"/>
      <c r="O133" s="67">
        <f t="shared" si="6"/>
        <v>21</v>
      </c>
      <c r="P133" s="67">
        <f>IF(B133="", 0, IFERROR(MIN(C133+D133, VLOOKUP(B133, '💳 Debt Input'!$A:$G, 4, FALSE)), 0))</f>
        <v>120</v>
      </c>
      <c r="Q133" s="67"/>
    </row>
    <row r="134" spans="1:17" ht="18" customHeight="1" x14ac:dyDescent="0.35">
      <c r="A134" s="19"/>
      <c r="B134" s="8" t="str">
        <f>'💳 Debt Input'!$A$6</f>
        <v>Personal Loan</v>
      </c>
      <c r="C134" s="10">
        <f t="shared" si="7"/>
        <v>818.2</v>
      </c>
      <c r="D134" s="10">
        <f>ROUND(C134*'💳 Debt Input'!$C$6/12,2)</f>
        <v>4.09</v>
      </c>
      <c r="E134" s="10">
        <f>IF(B134="", "", MIN(C134+D134, MAX(P134, $F$3 - SUMIFS(E$10:E133, O$10:O133, O134) - SUMIFS(P135:P$1995, O135:O$1995, O134))))</f>
        <v>40</v>
      </c>
      <c r="F134" s="10">
        <f t="shared" si="4"/>
        <v>782.29</v>
      </c>
      <c r="G134" s="19" t="str">
        <f t="shared" si="5"/>
        <v>Active</v>
      </c>
      <c r="H134" s="20"/>
      <c r="J134" s="67"/>
      <c r="K134" s="67"/>
      <c r="L134" s="67"/>
      <c r="M134" s="67"/>
      <c r="N134" s="67"/>
      <c r="O134" s="67">
        <f t="shared" si="6"/>
        <v>21</v>
      </c>
      <c r="P134" s="67">
        <f>IF(B134="", 0, IFERROR(MIN(C134+D134, VLOOKUP(B134, '💳 Debt Input'!$A:$G, 4, FALSE)), 0))</f>
        <v>40</v>
      </c>
      <c r="Q134" s="67"/>
    </row>
    <row r="135" spans="1:17" ht="18" customHeight="1" x14ac:dyDescent="0.35">
      <c r="A135" s="28"/>
      <c r="B135" s="26" t="str">
        <f>'💳 Debt Input'!$A$5</f>
        <v>Medical Bill</v>
      </c>
      <c r="C135" s="27">
        <f t="shared" si="7"/>
        <v>18.28</v>
      </c>
      <c r="D135" s="27">
        <f>ROUND(C135*'💳 Debt Input'!$C$5/12,2)</f>
        <v>0.06</v>
      </c>
      <c r="E135" s="27">
        <f>IF(B135="", "", MIN(C135+D135, MAX(P135, $F$3 - SUMIFS(E$10:E134, O$10:O134, O135) - SUMIFS(P136:P$1995, O136:O$1995, O135))))</f>
        <v>18.34</v>
      </c>
      <c r="F135" s="27">
        <f t="shared" si="4"/>
        <v>0</v>
      </c>
      <c r="G135" s="28" t="str">
        <f t="shared" si="5"/>
        <v>Paid off</v>
      </c>
      <c r="H135" s="26"/>
      <c r="J135" s="67"/>
      <c r="K135" s="67"/>
      <c r="L135" s="67"/>
      <c r="M135" s="67"/>
      <c r="N135" s="67"/>
      <c r="O135" s="67">
        <f t="shared" si="6"/>
        <v>21</v>
      </c>
      <c r="P135" s="67">
        <f>IF(B135="", 0, IFERROR(MIN(C135+D135, VLOOKUP(B135, '💳 Debt Input'!$A:$G, 4, FALSE)), 0))</f>
        <v>18.34</v>
      </c>
      <c r="Q135" s="67"/>
    </row>
    <row r="136" spans="1:17" ht="18" customHeight="1" x14ac:dyDescent="0.35">
      <c r="A136" s="28"/>
      <c r="B136" s="26" t="str">
        <f>'💳 Debt Input'!$A$4</f>
        <v>Store Card</v>
      </c>
      <c r="C136" s="27">
        <f t="shared" si="7"/>
        <v>0</v>
      </c>
      <c r="D136" s="27">
        <f>ROUND(C136*'💳 Debt Input'!$C$4/12,2)</f>
        <v>0</v>
      </c>
      <c r="E136" s="27">
        <f>IF(B136="", "", MIN(C136+D136, MAX(P136, $F$3 - SUMIFS(E$10:E135, O$10:O135, O136) - SUMIFS(P137:P$1995, O137:O$1995, O136))))</f>
        <v>0</v>
      </c>
      <c r="F136" s="27">
        <f t="shared" si="4"/>
        <v>0</v>
      </c>
      <c r="G136" s="28" t="str">
        <f t="shared" si="5"/>
        <v>Paid off</v>
      </c>
      <c r="H136" s="29"/>
      <c r="J136" s="67"/>
      <c r="K136" s="67"/>
      <c r="L136" s="67"/>
      <c r="M136" s="67"/>
      <c r="N136" s="67"/>
      <c r="O136" s="67">
        <f t="shared" si="6"/>
        <v>21</v>
      </c>
      <c r="P136" s="67">
        <f>IF(B136="", 0, IFERROR(MIN(C136+D136, VLOOKUP(B136, '💳 Debt Input'!$A:$G, 4, FALSE)), 0))</f>
        <v>0</v>
      </c>
      <c r="Q136" s="67"/>
    </row>
    <row r="137" spans="1:17" ht="18" customHeight="1" x14ac:dyDescent="0.35">
      <c r="A137" s="21">
        <v>22</v>
      </c>
      <c r="B137" s="6" t="str">
        <f>'💳 Debt Input'!$A$9</f>
        <v>Rewards Visa</v>
      </c>
      <c r="C137" s="12">
        <f t="shared" si="7"/>
        <v>14172.35</v>
      </c>
      <c r="D137" s="12">
        <f>ROUND(C137*'💳 Debt Input'!$C$9/12,2)</f>
        <v>425.17</v>
      </c>
      <c r="E137" s="12">
        <f>IF(B137="", "", MIN(C137+D137, MAX(P137, $F$3 - SUMIFS(E$10:E136, O$10:O136, O137) - SUMIFS(P138:P$1995, O138:O$1995, O137))))</f>
        <v>580</v>
      </c>
      <c r="F137" s="12">
        <f t="shared" si="4"/>
        <v>14017.52</v>
      </c>
      <c r="G137" s="22" t="str">
        <f t="shared" si="5"/>
        <v>Active</v>
      </c>
      <c r="H137" s="23"/>
      <c r="J137" s="67"/>
      <c r="K137" s="67"/>
      <c r="L137" s="67"/>
      <c r="M137" s="67"/>
      <c r="N137" s="67"/>
      <c r="O137" s="67">
        <f t="shared" si="6"/>
        <v>22</v>
      </c>
      <c r="P137" s="67">
        <f>IF(B137="", 0, IFERROR(MIN(C137+D137, VLOOKUP(B137, '💳 Debt Input'!$A:$G, 4, FALSE)), 0))</f>
        <v>480</v>
      </c>
      <c r="Q137" s="67"/>
    </row>
    <row r="138" spans="1:17" ht="18" customHeight="1" x14ac:dyDescent="0.35">
      <c r="A138" s="22"/>
      <c r="B138" s="6" t="str">
        <f>'💳 Debt Input'!$A$8</f>
        <v>Travel Card</v>
      </c>
      <c r="C138" s="12">
        <f t="shared" si="7"/>
        <v>5696.49</v>
      </c>
      <c r="D138" s="12">
        <f>ROUND(C138*'💳 Debt Input'!$C$8/12,2)</f>
        <v>85.45</v>
      </c>
      <c r="E138" s="12">
        <f>IF(B138="", "", MIN(C138+D138, MAX(P138, $F$3 - SUMIFS(E$10:E137, O$10:O137, O138) - SUMIFS(P139:P$1995, O139:O$1995, O138))))</f>
        <v>270</v>
      </c>
      <c r="F138" s="12">
        <f t="shared" si="4"/>
        <v>5511.94</v>
      </c>
      <c r="G138" s="22" t="str">
        <f t="shared" si="5"/>
        <v>Active</v>
      </c>
      <c r="H138" s="23"/>
      <c r="J138" s="67"/>
      <c r="K138" s="67"/>
      <c r="L138" s="67"/>
      <c r="M138" s="67"/>
      <c r="N138" s="67"/>
      <c r="O138" s="67">
        <f t="shared" si="6"/>
        <v>22</v>
      </c>
      <c r="P138" s="67">
        <f>IF(B138="", 0, IFERROR(MIN(C138+D138, VLOOKUP(B138, '💳 Debt Input'!$A:$G, 4, FALSE)), 0))</f>
        <v>270</v>
      </c>
      <c r="Q138" s="67"/>
    </row>
    <row r="139" spans="1:17" ht="18" customHeight="1" x14ac:dyDescent="0.35">
      <c r="A139" s="22"/>
      <c r="B139" s="6" t="str">
        <f>'💳 Debt Input'!$A$7</f>
        <v>Auto Loan</v>
      </c>
      <c r="C139" s="12">
        <f t="shared" si="7"/>
        <v>2020.01</v>
      </c>
      <c r="D139" s="12">
        <f>ROUND(C139*'💳 Debt Input'!$C$7/12,2)</f>
        <v>16.829999999999998</v>
      </c>
      <c r="E139" s="12">
        <f>IF(B139="", "", MIN(C139+D139, MAX(P139, $F$3 - SUMIFS(E$10:E138, O$10:O138, O139) - SUMIFS(P140:P$1995, O140:O$1995, O139))))</f>
        <v>120</v>
      </c>
      <c r="F139" s="12">
        <f t="shared" ref="F139:F202" si="8">ROUND(MAX(0,C139+D139-E139),2)</f>
        <v>1916.84</v>
      </c>
      <c r="G139" s="22" t="str">
        <f t="shared" ref="G139:G202" si="9">IF(F139=0,"Paid off","Active")</f>
        <v>Active</v>
      </c>
      <c r="H139" s="23"/>
      <c r="J139" s="67"/>
      <c r="K139" s="67"/>
      <c r="L139" s="67"/>
      <c r="M139" s="67"/>
      <c r="N139" s="67"/>
      <c r="O139" s="67">
        <f t="shared" ref="O139:O202" si="10">IF(A139&lt;&gt;"", A139, O138)</f>
        <v>22</v>
      </c>
      <c r="P139" s="67">
        <f>IF(B139="", 0, IFERROR(MIN(C139+D139, VLOOKUP(B139, '💳 Debt Input'!$A:$G, 4, FALSE)), 0))</f>
        <v>120</v>
      </c>
      <c r="Q139" s="67"/>
    </row>
    <row r="140" spans="1:17" ht="18" customHeight="1" x14ac:dyDescent="0.35">
      <c r="A140" s="22"/>
      <c r="B140" s="6" t="str">
        <f>'💳 Debt Input'!$A$6</f>
        <v>Personal Loan</v>
      </c>
      <c r="C140" s="12">
        <f t="shared" si="7"/>
        <v>782.29</v>
      </c>
      <c r="D140" s="12">
        <f>ROUND(C140*'💳 Debt Input'!$C$6/12,2)</f>
        <v>3.91</v>
      </c>
      <c r="E140" s="12">
        <f>IF(B140="", "", MIN(C140+D140, MAX(P140, $F$3 - SUMIFS(E$10:E139, O$10:O139, O140) - SUMIFS(P141:P$1995, O141:O$1995, O140))))</f>
        <v>40</v>
      </c>
      <c r="F140" s="12">
        <f t="shared" si="8"/>
        <v>746.2</v>
      </c>
      <c r="G140" s="22" t="str">
        <f t="shared" si="9"/>
        <v>Active</v>
      </c>
      <c r="H140" s="23"/>
      <c r="J140" s="67"/>
      <c r="K140" s="67"/>
      <c r="L140" s="67"/>
      <c r="M140" s="67"/>
      <c r="N140" s="67"/>
      <c r="O140" s="67">
        <f t="shared" si="10"/>
        <v>22</v>
      </c>
      <c r="P140" s="67">
        <f>IF(B140="", 0, IFERROR(MIN(C140+D140, VLOOKUP(B140, '💳 Debt Input'!$A:$G, 4, FALSE)), 0))</f>
        <v>40</v>
      </c>
      <c r="Q140" s="67"/>
    </row>
    <row r="141" spans="1:17" ht="18" customHeight="1" x14ac:dyDescent="0.35">
      <c r="A141" s="28"/>
      <c r="B141" s="26" t="str">
        <f>'💳 Debt Input'!$A$5</f>
        <v>Medical Bill</v>
      </c>
      <c r="C141" s="27">
        <f t="shared" si="7"/>
        <v>0</v>
      </c>
      <c r="D141" s="27">
        <f>ROUND(C141*'💳 Debt Input'!$C$5/12,2)</f>
        <v>0</v>
      </c>
      <c r="E141" s="27">
        <f>IF(B141="", "", MIN(C141+D141, MAX(P141, $F$3 - SUMIFS(E$10:E140, O$10:O140, O141) - SUMIFS(P142:P$1995, O142:O$1995, O141))))</f>
        <v>0</v>
      </c>
      <c r="F141" s="27">
        <f t="shared" si="8"/>
        <v>0</v>
      </c>
      <c r="G141" s="28" t="str">
        <f t="shared" si="9"/>
        <v>Paid off</v>
      </c>
      <c r="H141" s="29"/>
      <c r="J141" s="67"/>
      <c r="K141" s="67"/>
      <c r="L141" s="67"/>
      <c r="M141" s="67"/>
      <c r="N141" s="67"/>
      <c r="O141" s="67">
        <f t="shared" si="10"/>
        <v>22</v>
      </c>
      <c r="P141" s="67">
        <f>IF(B141="", 0, IFERROR(MIN(C141+D141, VLOOKUP(B141, '💳 Debt Input'!$A:$G, 4, FALSE)), 0))</f>
        <v>0</v>
      </c>
      <c r="Q141" s="67"/>
    </row>
    <row r="142" spans="1:17" ht="18" customHeight="1" x14ac:dyDescent="0.35">
      <c r="A142" s="28"/>
      <c r="B142" s="26" t="str">
        <f>'💳 Debt Input'!$A$4</f>
        <v>Store Card</v>
      </c>
      <c r="C142" s="27">
        <f t="shared" si="7"/>
        <v>0</v>
      </c>
      <c r="D142" s="27">
        <f>ROUND(C142*'💳 Debt Input'!$C$4/12,2)</f>
        <v>0</v>
      </c>
      <c r="E142" s="27">
        <f>IF(B142="", "", MIN(C142+D142, MAX(P142, $F$3 - SUMIFS(E$10:E141, O$10:O141, O142) - SUMIFS(P143:P$1995, O143:O$1995, O142))))</f>
        <v>0</v>
      </c>
      <c r="F142" s="27">
        <f t="shared" si="8"/>
        <v>0</v>
      </c>
      <c r="G142" s="28" t="str">
        <f t="shared" si="9"/>
        <v>Paid off</v>
      </c>
      <c r="H142" s="29"/>
      <c r="J142" s="67"/>
      <c r="K142" s="67"/>
      <c r="L142" s="67"/>
      <c r="M142" s="67"/>
      <c r="N142" s="67"/>
      <c r="O142" s="67">
        <f t="shared" si="10"/>
        <v>22</v>
      </c>
      <c r="P142" s="67">
        <f>IF(B142="", 0, IFERROR(MIN(C142+D142, VLOOKUP(B142, '💳 Debt Input'!$A:$G, 4, FALSE)), 0))</f>
        <v>0</v>
      </c>
      <c r="Q142" s="67"/>
    </row>
    <row r="143" spans="1:17" ht="18" customHeight="1" x14ac:dyDescent="0.35">
      <c r="A143" s="24">
        <v>23</v>
      </c>
      <c r="B143" s="8" t="str">
        <f>'💳 Debt Input'!$A$9</f>
        <v>Rewards Visa</v>
      </c>
      <c r="C143" s="10">
        <f t="shared" si="7"/>
        <v>14017.52</v>
      </c>
      <c r="D143" s="10">
        <f>ROUND(C143*'💳 Debt Input'!$C$9/12,2)</f>
        <v>420.53</v>
      </c>
      <c r="E143" s="10">
        <f>IF(B143="", "", MIN(C143+D143, MAX(P143, $F$3 - SUMIFS(E$10:E142, O$10:O142, O143) - SUMIFS(P144:P$1995, O144:O$1995, O143))))</f>
        <v>580</v>
      </c>
      <c r="F143" s="10">
        <f t="shared" si="8"/>
        <v>13858.05</v>
      </c>
      <c r="G143" s="19" t="str">
        <f t="shared" si="9"/>
        <v>Active</v>
      </c>
      <c r="H143" s="20"/>
      <c r="J143" s="67"/>
      <c r="K143" s="67"/>
      <c r="L143" s="67"/>
      <c r="M143" s="67"/>
      <c r="N143" s="67"/>
      <c r="O143" s="67">
        <f t="shared" si="10"/>
        <v>23</v>
      </c>
      <c r="P143" s="67">
        <f>IF(B143="", 0, IFERROR(MIN(C143+D143, VLOOKUP(B143, '💳 Debt Input'!$A:$G, 4, FALSE)), 0))</f>
        <v>480</v>
      </c>
      <c r="Q143" s="67"/>
    </row>
    <row r="144" spans="1:17" ht="18" customHeight="1" x14ac:dyDescent="0.35">
      <c r="A144" s="19"/>
      <c r="B144" s="8" t="str">
        <f>'💳 Debt Input'!$A$8</f>
        <v>Travel Card</v>
      </c>
      <c r="C144" s="10">
        <f t="shared" si="7"/>
        <v>5511.94</v>
      </c>
      <c r="D144" s="10">
        <f>ROUND(C144*'💳 Debt Input'!$C$8/12,2)</f>
        <v>82.68</v>
      </c>
      <c r="E144" s="10">
        <f>IF(B144="", "", MIN(C144+D144, MAX(P144, $F$3 - SUMIFS(E$10:E143, O$10:O143, O144) - SUMIFS(P145:P$1995, O145:O$1995, O144))))</f>
        <v>270</v>
      </c>
      <c r="F144" s="10">
        <f t="shared" si="8"/>
        <v>5324.62</v>
      </c>
      <c r="G144" s="19" t="str">
        <f t="shared" si="9"/>
        <v>Active</v>
      </c>
      <c r="H144" s="20"/>
      <c r="J144" s="67"/>
      <c r="K144" s="67"/>
      <c r="L144" s="67"/>
      <c r="M144" s="67"/>
      <c r="N144" s="67"/>
      <c r="O144" s="67">
        <f t="shared" si="10"/>
        <v>23</v>
      </c>
      <c r="P144" s="67">
        <f>IF(B144="", 0, IFERROR(MIN(C144+D144, VLOOKUP(B144, '💳 Debt Input'!$A:$G, 4, FALSE)), 0))</f>
        <v>270</v>
      </c>
      <c r="Q144" s="67"/>
    </row>
    <row r="145" spans="1:17" ht="18" customHeight="1" x14ac:dyDescent="0.35">
      <c r="A145" s="19"/>
      <c r="B145" s="8" t="str">
        <f>'💳 Debt Input'!$A$7</f>
        <v>Auto Loan</v>
      </c>
      <c r="C145" s="10">
        <f t="shared" ref="C145:C208" si="11">F139</f>
        <v>1916.84</v>
      </c>
      <c r="D145" s="10">
        <f>ROUND(C145*'💳 Debt Input'!$C$7/12,2)</f>
        <v>15.97</v>
      </c>
      <c r="E145" s="10">
        <f>IF(B145="", "", MIN(C145+D145, MAX(P145, $F$3 - SUMIFS(E$10:E144, O$10:O144, O145) - SUMIFS(P146:P$1995, O146:O$1995, O145))))</f>
        <v>120</v>
      </c>
      <c r="F145" s="10">
        <f t="shared" si="8"/>
        <v>1812.81</v>
      </c>
      <c r="G145" s="19" t="str">
        <f t="shared" si="9"/>
        <v>Active</v>
      </c>
      <c r="H145" s="20"/>
      <c r="J145" s="67"/>
      <c r="K145" s="67"/>
      <c r="L145" s="67"/>
      <c r="M145" s="67"/>
      <c r="N145" s="67"/>
      <c r="O145" s="67">
        <f t="shared" si="10"/>
        <v>23</v>
      </c>
      <c r="P145" s="67">
        <f>IF(B145="", 0, IFERROR(MIN(C145+D145, VLOOKUP(B145, '💳 Debt Input'!$A:$G, 4, FALSE)), 0))</f>
        <v>120</v>
      </c>
      <c r="Q145" s="67"/>
    </row>
    <row r="146" spans="1:17" ht="18" customHeight="1" x14ac:dyDescent="0.35">
      <c r="A146" s="19"/>
      <c r="B146" s="8" t="str">
        <f>'💳 Debt Input'!$A$6</f>
        <v>Personal Loan</v>
      </c>
      <c r="C146" s="10">
        <f t="shared" si="11"/>
        <v>746.2</v>
      </c>
      <c r="D146" s="10">
        <f>ROUND(C146*'💳 Debt Input'!$C$6/12,2)</f>
        <v>3.73</v>
      </c>
      <c r="E146" s="10">
        <f>IF(B146="", "", MIN(C146+D146, MAX(P146, $F$3 - SUMIFS(E$10:E145, O$10:O145, O146) - SUMIFS(P147:P$1995, O147:O$1995, O146))))</f>
        <v>40</v>
      </c>
      <c r="F146" s="10">
        <f t="shared" si="8"/>
        <v>709.93</v>
      </c>
      <c r="G146" s="19" t="str">
        <f t="shared" si="9"/>
        <v>Active</v>
      </c>
      <c r="H146" s="20"/>
      <c r="J146" s="67"/>
      <c r="K146" s="67"/>
      <c r="L146" s="67"/>
      <c r="M146" s="67"/>
      <c r="N146" s="67"/>
      <c r="O146" s="67">
        <f t="shared" si="10"/>
        <v>23</v>
      </c>
      <c r="P146" s="67">
        <f>IF(B146="", 0, IFERROR(MIN(C146+D146, VLOOKUP(B146, '💳 Debt Input'!$A:$G, 4, FALSE)), 0))</f>
        <v>40</v>
      </c>
      <c r="Q146" s="67"/>
    </row>
    <row r="147" spans="1:17" ht="18" customHeight="1" x14ac:dyDescent="0.35">
      <c r="A147" s="28"/>
      <c r="B147" s="26" t="str">
        <f>'💳 Debt Input'!$A$5</f>
        <v>Medical Bill</v>
      </c>
      <c r="C147" s="27">
        <f t="shared" si="11"/>
        <v>0</v>
      </c>
      <c r="D147" s="27">
        <f>ROUND(C147*'💳 Debt Input'!$C$5/12,2)</f>
        <v>0</v>
      </c>
      <c r="E147" s="27">
        <f>IF(B147="", "", MIN(C147+D147, MAX(P147, $F$3 - SUMIFS(E$10:E146, O$10:O146, O147) - SUMIFS(P148:P$1995, O148:O$1995, O147))))</f>
        <v>0</v>
      </c>
      <c r="F147" s="27">
        <f t="shared" si="8"/>
        <v>0</v>
      </c>
      <c r="G147" s="28" t="str">
        <f t="shared" si="9"/>
        <v>Paid off</v>
      </c>
      <c r="H147" s="29"/>
      <c r="J147" s="67"/>
      <c r="K147" s="67"/>
      <c r="L147" s="67"/>
      <c r="M147" s="67"/>
      <c r="N147" s="67"/>
      <c r="O147" s="67">
        <f t="shared" si="10"/>
        <v>23</v>
      </c>
      <c r="P147" s="67">
        <f>IF(B147="", 0, IFERROR(MIN(C147+D147, VLOOKUP(B147, '💳 Debt Input'!$A:$G, 4, FALSE)), 0))</f>
        <v>0</v>
      </c>
      <c r="Q147" s="67"/>
    </row>
    <row r="148" spans="1:17" ht="18" customHeight="1" x14ac:dyDescent="0.35">
      <c r="A148" s="28"/>
      <c r="B148" s="26" t="str">
        <f>'💳 Debt Input'!$A$4</f>
        <v>Store Card</v>
      </c>
      <c r="C148" s="27">
        <f t="shared" si="11"/>
        <v>0</v>
      </c>
      <c r="D148" s="27">
        <f>ROUND(C148*'💳 Debt Input'!$C$4/12,2)</f>
        <v>0</v>
      </c>
      <c r="E148" s="27">
        <f>IF(B148="", "", MIN(C148+D148, MAX(P148, $F$3 - SUMIFS(E$10:E147, O$10:O147, O148) - SUMIFS(P149:P$1995, O149:O$1995, O148))))</f>
        <v>0</v>
      </c>
      <c r="F148" s="27">
        <f t="shared" si="8"/>
        <v>0</v>
      </c>
      <c r="G148" s="28" t="str">
        <f t="shared" si="9"/>
        <v>Paid off</v>
      </c>
      <c r="H148" s="29"/>
      <c r="J148" s="67"/>
      <c r="K148" s="67"/>
      <c r="L148" s="67"/>
      <c r="M148" s="67"/>
      <c r="N148" s="67"/>
      <c r="O148" s="67">
        <f t="shared" si="10"/>
        <v>23</v>
      </c>
      <c r="P148" s="67">
        <f>IF(B148="", 0, IFERROR(MIN(C148+D148, VLOOKUP(B148, '💳 Debt Input'!$A:$G, 4, FALSE)), 0))</f>
        <v>0</v>
      </c>
      <c r="Q148" s="67"/>
    </row>
    <row r="149" spans="1:17" ht="18" customHeight="1" x14ac:dyDescent="0.35">
      <c r="A149" s="21">
        <v>24</v>
      </c>
      <c r="B149" s="6" t="str">
        <f>'💳 Debt Input'!$A$9</f>
        <v>Rewards Visa</v>
      </c>
      <c r="C149" s="12">
        <f t="shared" si="11"/>
        <v>13858.05</v>
      </c>
      <c r="D149" s="12">
        <f>ROUND(C149*'💳 Debt Input'!$C$9/12,2)</f>
        <v>415.74</v>
      </c>
      <c r="E149" s="12">
        <f>IF(B149="", "", MIN(C149+D149, MAX(P149, $F$3 - SUMIFS(E$10:E148, O$10:O148, O149) - SUMIFS(P150:P$1995, O150:O$1995, O149))))</f>
        <v>580</v>
      </c>
      <c r="F149" s="12">
        <f t="shared" si="8"/>
        <v>13693.79</v>
      </c>
      <c r="G149" s="22" t="str">
        <f t="shared" si="9"/>
        <v>Active</v>
      </c>
      <c r="H149" s="23"/>
      <c r="J149" s="67"/>
      <c r="K149" s="67"/>
      <c r="L149" s="67"/>
      <c r="M149" s="67"/>
      <c r="N149" s="67"/>
      <c r="O149" s="67">
        <f t="shared" si="10"/>
        <v>24</v>
      </c>
      <c r="P149" s="67">
        <f>IF(B149="", 0, IFERROR(MIN(C149+D149, VLOOKUP(B149, '💳 Debt Input'!$A:$G, 4, FALSE)), 0))</f>
        <v>480</v>
      </c>
      <c r="Q149" s="67"/>
    </row>
    <row r="150" spans="1:17" ht="18" customHeight="1" x14ac:dyDescent="0.35">
      <c r="A150" s="22"/>
      <c r="B150" s="6" t="str">
        <f>'💳 Debt Input'!$A$8</f>
        <v>Travel Card</v>
      </c>
      <c r="C150" s="12">
        <f t="shared" si="11"/>
        <v>5324.62</v>
      </c>
      <c r="D150" s="12">
        <f>ROUND(C150*'💳 Debt Input'!$C$8/12,2)</f>
        <v>79.87</v>
      </c>
      <c r="E150" s="12">
        <f>IF(B150="", "", MIN(C150+D150, MAX(P150, $F$3 - SUMIFS(E$10:E149, O$10:O149, O150) - SUMIFS(P151:P$1995, O151:O$1995, O150))))</f>
        <v>270</v>
      </c>
      <c r="F150" s="12">
        <f t="shared" si="8"/>
        <v>5134.49</v>
      </c>
      <c r="G150" s="22" t="str">
        <f t="shared" si="9"/>
        <v>Active</v>
      </c>
      <c r="H150" s="23"/>
      <c r="J150" s="67"/>
      <c r="K150" s="67"/>
      <c r="L150" s="67"/>
      <c r="M150" s="67"/>
      <c r="N150" s="67"/>
      <c r="O150" s="67">
        <f t="shared" si="10"/>
        <v>24</v>
      </c>
      <c r="P150" s="67">
        <f>IF(B150="", 0, IFERROR(MIN(C150+D150, VLOOKUP(B150, '💳 Debt Input'!$A:$G, 4, FALSE)), 0))</f>
        <v>270</v>
      </c>
      <c r="Q150" s="67"/>
    </row>
    <row r="151" spans="1:17" ht="18" customHeight="1" x14ac:dyDescent="0.35">
      <c r="A151" s="22"/>
      <c r="B151" s="6" t="str">
        <f>'💳 Debt Input'!$A$7</f>
        <v>Auto Loan</v>
      </c>
      <c r="C151" s="12">
        <f t="shared" si="11"/>
        <v>1812.81</v>
      </c>
      <c r="D151" s="12">
        <f>ROUND(C151*'💳 Debt Input'!$C$7/12,2)</f>
        <v>15.11</v>
      </c>
      <c r="E151" s="12">
        <f>IF(B151="", "", MIN(C151+D151, MAX(P151, $F$3 - SUMIFS(E$10:E150, O$10:O150, O151) - SUMIFS(P152:P$1995, O152:O$1995, O151))))</f>
        <v>120</v>
      </c>
      <c r="F151" s="12">
        <f t="shared" si="8"/>
        <v>1707.92</v>
      </c>
      <c r="G151" s="22" t="str">
        <f t="shared" si="9"/>
        <v>Active</v>
      </c>
      <c r="H151" s="23"/>
      <c r="J151" s="67"/>
      <c r="K151" s="67"/>
      <c r="L151" s="67"/>
      <c r="M151" s="67"/>
      <c r="N151" s="67"/>
      <c r="O151" s="67">
        <f t="shared" si="10"/>
        <v>24</v>
      </c>
      <c r="P151" s="67">
        <f>IF(B151="", 0, IFERROR(MIN(C151+D151, VLOOKUP(B151, '💳 Debt Input'!$A:$G, 4, FALSE)), 0))</f>
        <v>120</v>
      </c>
      <c r="Q151" s="67"/>
    </row>
    <row r="152" spans="1:17" ht="18" customHeight="1" x14ac:dyDescent="0.35">
      <c r="A152" s="22"/>
      <c r="B152" s="6" t="str">
        <f>'💳 Debt Input'!$A$6</f>
        <v>Personal Loan</v>
      </c>
      <c r="C152" s="12">
        <f t="shared" si="11"/>
        <v>709.93</v>
      </c>
      <c r="D152" s="12">
        <f>ROUND(C152*'💳 Debt Input'!$C$6/12,2)</f>
        <v>3.55</v>
      </c>
      <c r="E152" s="12">
        <f>IF(B152="", "", MIN(C152+D152, MAX(P152, $F$3 - SUMIFS(E$10:E151, O$10:O151, O152) - SUMIFS(P153:P$1995, O153:O$1995, O152))))</f>
        <v>40</v>
      </c>
      <c r="F152" s="12">
        <f t="shared" si="8"/>
        <v>673.48</v>
      </c>
      <c r="G152" s="22" t="str">
        <f t="shared" si="9"/>
        <v>Active</v>
      </c>
      <c r="H152" s="23"/>
      <c r="J152" s="67"/>
      <c r="K152" s="67"/>
      <c r="L152" s="67"/>
      <c r="M152" s="67"/>
      <c r="N152" s="67"/>
      <c r="O152" s="67">
        <f t="shared" si="10"/>
        <v>24</v>
      </c>
      <c r="P152" s="67">
        <f>IF(B152="", 0, IFERROR(MIN(C152+D152, VLOOKUP(B152, '💳 Debt Input'!$A:$G, 4, FALSE)), 0))</f>
        <v>40</v>
      </c>
      <c r="Q152" s="67"/>
    </row>
    <row r="153" spans="1:17" ht="18" customHeight="1" x14ac:dyDescent="0.35">
      <c r="A153" s="28"/>
      <c r="B153" s="26" t="str">
        <f>'💳 Debt Input'!$A$5</f>
        <v>Medical Bill</v>
      </c>
      <c r="C153" s="27">
        <f t="shared" si="11"/>
        <v>0</v>
      </c>
      <c r="D153" s="27">
        <f>ROUND(C153*'💳 Debt Input'!$C$5/12,2)</f>
        <v>0</v>
      </c>
      <c r="E153" s="27">
        <f>IF(B153="", "", MIN(C153+D153, MAX(P153, $F$3 - SUMIFS(E$10:E152, O$10:O152, O153) - SUMIFS(P154:P$1995, O154:O$1995, O153))))</f>
        <v>0</v>
      </c>
      <c r="F153" s="27">
        <f t="shared" si="8"/>
        <v>0</v>
      </c>
      <c r="G153" s="28" t="str">
        <f t="shared" si="9"/>
        <v>Paid off</v>
      </c>
      <c r="H153" s="29"/>
      <c r="J153" s="67"/>
      <c r="K153" s="67"/>
      <c r="L153" s="67"/>
      <c r="M153" s="67"/>
      <c r="N153" s="67"/>
      <c r="O153" s="67">
        <f t="shared" si="10"/>
        <v>24</v>
      </c>
      <c r="P153" s="67">
        <f>IF(B153="", 0, IFERROR(MIN(C153+D153, VLOOKUP(B153, '💳 Debt Input'!$A:$G, 4, FALSE)), 0))</f>
        <v>0</v>
      </c>
      <c r="Q153" s="67"/>
    </row>
    <row r="154" spans="1:17" ht="18" customHeight="1" x14ac:dyDescent="0.35">
      <c r="A154" s="28"/>
      <c r="B154" s="26" t="str">
        <f>'💳 Debt Input'!$A$4</f>
        <v>Store Card</v>
      </c>
      <c r="C154" s="27">
        <f t="shared" si="11"/>
        <v>0</v>
      </c>
      <c r="D154" s="27">
        <f>ROUND(C154*'💳 Debt Input'!$C$4/12,2)</f>
        <v>0</v>
      </c>
      <c r="E154" s="27">
        <f>IF(B154="", "", MIN(C154+D154, MAX(P154, $F$3 - SUMIFS(E$10:E153, O$10:O153, O154) - SUMIFS(P155:P$1995, O155:O$1995, O154))))</f>
        <v>0</v>
      </c>
      <c r="F154" s="27">
        <f t="shared" si="8"/>
        <v>0</v>
      </c>
      <c r="G154" s="28" t="str">
        <f t="shared" si="9"/>
        <v>Paid off</v>
      </c>
      <c r="H154" s="29"/>
      <c r="J154" s="67"/>
      <c r="K154" s="67"/>
      <c r="L154" s="67"/>
      <c r="M154" s="67"/>
      <c r="N154" s="67"/>
      <c r="O154" s="67">
        <f t="shared" si="10"/>
        <v>24</v>
      </c>
      <c r="P154" s="67">
        <f>IF(B154="", 0, IFERROR(MIN(C154+D154, VLOOKUP(B154, '💳 Debt Input'!$A:$G, 4, FALSE)), 0))</f>
        <v>0</v>
      </c>
      <c r="Q154" s="67"/>
    </row>
    <row r="155" spans="1:17" ht="18" customHeight="1" x14ac:dyDescent="0.35">
      <c r="A155" s="24">
        <v>25</v>
      </c>
      <c r="B155" s="8" t="str">
        <f>'💳 Debt Input'!$A$9</f>
        <v>Rewards Visa</v>
      </c>
      <c r="C155" s="10">
        <f t="shared" si="11"/>
        <v>13693.79</v>
      </c>
      <c r="D155" s="10">
        <f>ROUND(C155*'💳 Debt Input'!$C$9/12,2)</f>
        <v>410.81</v>
      </c>
      <c r="E155" s="10">
        <f>IF(B155="", "", MIN(C155+D155, MAX(P155, $F$3 - SUMIFS(E$10:E154, O$10:O154, O155) - SUMIFS(P156:P$1995, O156:O$1995, O155))))</f>
        <v>580</v>
      </c>
      <c r="F155" s="10">
        <f t="shared" si="8"/>
        <v>13524.6</v>
      </c>
      <c r="G155" s="19" t="str">
        <f t="shared" si="9"/>
        <v>Active</v>
      </c>
      <c r="H155" s="20"/>
      <c r="J155" s="67"/>
      <c r="K155" s="67"/>
      <c r="L155" s="67"/>
      <c r="M155" s="67"/>
      <c r="N155" s="67"/>
      <c r="O155" s="67">
        <f t="shared" si="10"/>
        <v>25</v>
      </c>
      <c r="P155" s="67">
        <f>IF(B155="", 0, IFERROR(MIN(C155+D155, VLOOKUP(B155, '💳 Debt Input'!$A:$G, 4, FALSE)), 0))</f>
        <v>480</v>
      </c>
      <c r="Q155" s="67"/>
    </row>
    <row r="156" spans="1:17" ht="18" customHeight="1" x14ac:dyDescent="0.35">
      <c r="A156" s="19"/>
      <c r="B156" s="8" t="str">
        <f>'💳 Debt Input'!$A$8</f>
        <v>Travel Card</v>
      </c>
      <c r="C156" s="10">
        <f t="shared" si="11"/>
        <v>5134.49</v>
      </c>
      <c r="D156" s="10">
        <f>ROUND(C156*'💳 Debt Input'!$C$8/12,2)</f>
        <v>77.02</v>
      </c>
      <c r="E156" s="10">
        <f>IF(B156="", "", MIN(C156+D156, MAX(P156, $F$3 - SUMIFS(E$10:E155, O$10:O155, O156) - SUMIFS(P157:P$1995, O157:O$1995, O156))))</f>
        <v>270</v>
      </c>
      <c r="F156" s="10">
        <f t="shared" si="8"/>
        <v>4941.51</v>
      </c>
      <c r="G156" s="19" t="str">
        <f t="shared" si="9"/>
        <v>Active</v>
      </c>
      <c r="H156" s="20"/>
      <c r="J156" s="67"/>
      <c r="K156" s="67"/>
      <c r="L156" s="67"/>
      <c r="M156" s="67"/>
      <c r="N156" s="67"/>
      <c r="O156" s="67">
        <f t="shared" si="10"/>
        <v>25</v>
      </c>
      <c r="P156" s="67">
        <f>IF(B156="", 0, IFERROR(MIN(C156+D156, VLOOKUP(B156, '💳 Debt Input'!$A:$G, 4, FALSE)), 0))</f>
        <v>270</v>
      </c>
      <c r="Q156" s="67"/>
    </row>
    <row r="157" spans="1:17" ht="18" customHeight="1" x14ac:dyDescent="0.35">
      <c r="A157" s="19"/>
      <c r="B157" s="8" t="str">
        <f>'💳 Debt Input'!$A$7</f>
        <v>Auto Loan</v>
      </c>
      <c r="C157" s="10">
        <f t="shared" si="11"/>
        <v>1707.92</v>
      </c>
      <c r="D157" s="10">
        <f>ROUND(C157*'💳 Debt Input'!$C$7/12,2)</f>
        <v>14.23</v>
      </c>
      <c r="E157" s="10">
        <f>IF(B157="", "", MIN(C157+D157, MAX(P157, $F$3 - SUMIFS(E$10:E156, O$10:O156, O157) - SUMIFS(P158:P$1995, O158:O$1995, O157))))</f>
        <v>120</v>
      </c>
      <c r="F157" s="10">
        <f t="shared" si="8"/>
        <v>1602.15</v>
      </c>
      <c r="G157" s="19" t="str">
        <f t="shared" si="9"/>
        <v>Active</v>
      </c>
      <c r="H157" s="20"/>
      <c r="J157" s="67"/>
      <c r="K157" s="67"/>
      <c r="L157" s="67"/>
      <c r="M157" s="67"/>
      <c r="N157" s="67"/>
      <c r="O157" s="67">
        <f t="shared" si="10"/>
        <v>25</v>
      </c>
      <c r="P157" s="67">
        <f>IF(B157="", 0, IFERROR(MIN(C157+D157, VLOOKUP(B157, '💳 Debt Input'!$A:$G, 4, FALSE)), 0))</f>
        <v>120</v>
      </c>
      <c r="Q157" s="67"/>
    </row>
    <row r="158" spans="1:17" ht="18" customHeight="1" x14ac:dyDescent="0.35">
      <c r="A158" s="19"/>
      <c r="B158" s="8" t="str">
        <f>'💳 Debt Input'!$A$6</f>
        <v>Personal Loan</v>
      </c>
      <c r="C158" s="10">
        <f t="shared" si="11"/>
        <v>673.48</v>
      </c>
      <c r="D158" s="10">
        <f>ROUND(C158*'💳 Debt Input'!$C$6/12,2)</f>
        <v>3.37</v>
      </c>
      <c r="E158" s="10">
        <f>IF(B158="", "", MIN(C158+D158, MAX(P158, $F$3 - SUMIFS(E$10:E157, O$10:O157, O158) - SUMIFS(P159:P$1995, O159:O$1995, O158))))</f>
        <v>40</v>
      </c>
      <c r="F158" s="10">
        <f t="shared" si="8"/>
        <v>636.85</v>
      </c>
      <c r="G158" s="19" t="str">
        <f t="shared" si="9"/>
        <v>Active</v>
      </c>
      <c r="H158" s="20"/>
      <c r="J158" s="67"/>
      <c r="K158" s="67"/>
      <c r="L158" s="67"/>
      <c r="M158" s="67"/>
      <c r="N158" s="67"/>
      <c r="O158" s="67">
        <f t="shared" si="10"/>
        <v>25</v>
      </c>
      <c r="P158" s="67">
        <f>IF(B158="", 0, IFERROR(MIN(C158+D158, VLOOKUP(B158, '💳 Debt Input'!$A:$G, 4, FALSE)), 0))</f>
        <v>40</v>
      </c>
      <c r="Q158" s="67"/>
    </row>
    <row r="159" spans="1:17" ht="18" customHeight="1" x14ac:dyDescent="0.35">
      <c r="A159" s="28"/>
      <c r="B159" s="26" t="str">
        <f>'💳 Debt Input'!$A$5</f>
        <v>Medical Bill</v>
      </c>
      <c r="C159" s="27">
        <f t="shared" si="11"/>
        <v>0</v>
      </c>
      <c r="D159" s="27">
        <f>ROUND(C159*'💳 Debt Input'!$C$5/12,2)</f>
        <v>0</v>
      </c>
      <c r="E159" s="27">
        <f>IF(B159="", "", MIN(C159+D159, MAX(P159, $F$3 - SUMIFS(E$10:E158, O$10:O158, O159) - SUMIFS(P160:P$1995, O160:O$1995, O159))))</f>
        <v>0</v>
      </c>
      <c r="F159" s="27">
        <f t="shared" si="8"/>
        <v>0</v>
      </c>
      <c r="G159" s="28" t="str">
        <f t="shared" si="9"/>
        <v>Paid off</v>
      </c>
      <c r="H159" s="29"/>
      <c r="J159" s="67"/>
      <c r="K159" s="67"/>
      <c r="L159" s="67"/>
      <c r="M159" s="67"/>
      <c r="N159" s="67"/>
      <c r="O159" s="67">
        <f t="shared" si="10"/>
        <v>25</v>
      </c>
      <c r="P159" s="67">
        <f>IF(B159="", 0, IFERROR(MIN(C159+D159, VLOOKUP(B159, '💳 Debt Input'!$A:$G, 4, FALSE)), 0))</f>
        <v>0</v>
      </c>
      <c r="Q159" s="67"/>
    </row>
    <row r="160" spans="1:17" ht="18" customHeight="1" x14ac:dyDescent="0.35">
      <c r="A160" s="28"/>
      <c r="B160" s="26" t="str">
        <f>'💳 Debt Input'!$A$4</f>
        <v>Store Card</v>
      </c>
      <c r="C160" s="27">
        <f t="shared" si="11"/>
        <v>0</v>
      </c>
      <c r="D160" s="27">
        <f>ROUND(C160*'💳 Debt Input'!$C$4/12,2)</f>
        <v>0</v>
      </c>
      <c r="E160" s="27">
        <f>IF(B160="", "", MIN(C160+D160, MAX(P160, $F$3 - SUMIFS(E$10:E159, O$10:O159, O160) - SUMIFS(P161:P$1995, O161:O$1995, O160))))</f>
        <v>0</v>
      </c>
      <c r="F160" s="27">
        <f t="shared" si="8"/>
        <v>0</v>
      </c>
      <c r="G160" s="28" t="str">
        <f t="shared" si="9"/>
        <v>Paid off</v>
      </c>
      <c r="H160" s="29"/>
      <c r="J160" s="67"/>
      <c r="K160" s="67"/>
      <c r="L160" s="67"/>
      <c r="M160" s="67"/>
      <c r="N160" s="67"/>
      <c r="O160" s="67">
        <f t="shared" si="10"/>
        <v>25</v>
      </c>
      <c r="P160" s="67">
        <f>IF(B160="", 0, IFERROR(MIN(C160+D160, VLOOKUP(B160, '💳 Debt Input'!$A:$G, 4, FALSE)), 0))</f>
        <v>0</v>
      </c>
      <c r="Q160" s="67"/>
    </row>
    <row r="161" spans="1:17" ht="18" customHeight="1" x14ac:dyDescent="0.35">
      <c r="A161" s="21">
        <v>26</v>
      </c>
      <c r="B161" s="6" t="str">
        <f>'💳 Debt Input'!$A$9</f>
        <v>Rewards Visa</v>
      </c>
      <c r="C161" s="12">
        <f t="shared" si="11"/>
        <v>13524.6</v>
      </c>
      <c r="D161" s="12">
        <f>ROUND(C161*'💳 Debt Input'!$C$9/12,2)</f>
        <v>405.74</v>
      </c>
      <c r="E161" s="12">
        <f>IF(B161="", "", MIN(C161+D161, MAX(P161, $F$3 - SUMIFS(E$10:E160, O$10:O160, O161) - SUMIFS(P162:P$1995, O162:O$1995, O161))))</f>
        <v>580</v>
      </c>
      <c r="F161" s="12">
        <f t="shared" si="8"/>
        <v>13350.34</v>
      </c>
      <c r="G161" s="22" t="str">
        <f t="shared" si="9"/>
        <v>Active</v>
      </c>
      <c r="H161" s="23"/>
      <c r="J161" s="67"/>
      <c r="K161" s="67"/>
      <c r="L161" s="67"/>
      <c r="M161" s="67"/>
      <c r="N161" s="67"/>
      <c r="O161" s="67">
        <f t="shared" si="10"/>
        <v>26</v>
      </c>
      <c r="P161" s="67">
        <f>IF(B161="", 0, IFERROR(MIN(C161+D161, VLOOKUP(B161, '💳 Debt Input'!$A:$G, 4, FALSE)), 0))</f>
        <v>480</v>
      </c>
      <c r="Q161" s="67"/>
    </row>
    <row r="162" spans="1:17" ht="18" customHeight="1" x14ac:dyDescent="0.35">
      <c r="A162" s="22"/>
      <c r="B162" s="6" t="str">
        <f>'💳 Debt Input'!$A$8</f>
        <v>Travel Card</v>
      </c>
      <c r="C162" s="12">
        <f t="shared" si="11"/>
        <v>4941.51</v>
      </c>
      <c r="D162" s="12">
        <f>ROUND(C162*'💳 Debt Input'!$C$8/12,2)</f>
        <v>74.12</v>
      </c>
      <c r="E162" s="12">
        <f>IF(B162="", "", MIN(C162+D162, MAX(P162, $F$3 - SUMIFS(E$10:E161, O$10:O161, O162) - SUMIFS(P163:P$1995, O163:O$1995, O162))))</f>
        <v>270</v>
      </c>
      <c r="F162" s="12">
        <f t="shared" si="8"/>
        <v>4745.63</v>
      </c>
      <c r="G162" s="22" t="str">
        <f t="shared" si="9"/>
        <v>Active</v>
      </c>
      <c r="H162" s="23"/>
      <c r="J162" s="67"/>
      <c r="K162" s="67"/>
      <c r="L162" s="67"/>
      <c r="M162" s="67"/>
      <c r="N162" s="67"/>
      <c r="O162" s="67">
        <f t="shared" si="10"/>
        <v>26</v>
      </c>
      <c r="P162" s="67">
        <f>IF(B162="", 0, IFERROR(MIN(C162+D162, VLOOKUP(B162, '💳 Debt Input'!$A:$G, 4, FALSE)), 0))</f>
        <v>270</v>
      </c>
      <c r="Q162" s="67"/>
    </row>
    <row r="163" spans="1:17" ht="18" customHeight="1" x14ac:dyDescent="0.35">
      <c r="A163" s="22"/>
      <c r="B163" s="6" t="str">
        <f>'💳 Debt Input'!$A$7</f>
        <v>Auto Loan</v>
      </c>
      <c r="C163" s="12">
        <f t="shared" si="11"/>
        <v>1602.15</v>
      </c>
      <c r="D163" s="12">
        <f>ROUND(C163*'💳 Debt Input'!$C$7/12,2)</f>
        <v>13.35</v>
      </c>
      <c r="E163" s="12">
        <f>IF(B163="", "", MIN(C163+D163, MAX(P163, $F$3 - SUMIFS(E$10:E162, O$10:O162, O163) - SUMIFS(P164:P$1995, O164:O$1995, O163))))</f>
        <v>120</v>
      </c>
      <c r="F163" s="12">
        <f t="shared" si="8"/>
        <v>1495.5</v>
      </c>
      <c r="G163" s="22" t="str">
        <f t="shared" si="9"/>
        <v>Active</v>
      </c>
      <c r="H163" s="23"/>
      <c r="J163" s="67"/>
      <c r="K163" s="67"/>
      <c r="L163" s="67"/>
      <c r="M163" s="67"/>
      <c r="N163" s="67"/>
      <c r="O163" s="67">
        <f t="shared" si="10"/>
        <v>26</v>
      </c>
      <c r="P163" s="67">
        <f>IF(B163="", 0, IFERROR(MIN(C163+D163, VLOOKUP(B163, '💳 Debt Input'!$A:$G, 4, FALSE)), 0))</f>
        <v>120</v>
      </c>
      <c r="Q163" s="67"/>
    </row>
    <row r="164" spans="1:17" ht="18" customHeight="1" x14ac:dyDescent="0.35">
      <c r="A164" s="22"/>
      <c r="B164" s="6" t="str">
        <f>'💳 Debt Input'!$A$6</f>
        <v>Personal Loan</v>
      </c>
      <c r="C164" s="12">
        <f t="shared" si="11"/>
        <v>636.85</v>
      </c>
      <c r="D164" s="12">
        <f>ROUND(C164*'💳 Debt Input'!$C$6/12,2)</f>
        <v>3.18</v>
      </c>
      <c r="E164" s="12">
        <f>IF(B164="", "", MIN(C164+D164, MAX(P164, $F$3 - SUMIFS(E$10:E163, O$10:O163, O164) - SUMIFS(P165:P$1995, O165:O$1995, O164))))</f>
        <v>40</v>
      </c>
      <c r="F164" s="12">
        <f t="shared" si="8"/>
        <v>600.03</v>
      </c>
      <c r="G164" s="22" t="str">
        <f t="shared" si="9"/>
        <v>Active</v>
      </c>
      <c r="H164" s="23"/>
      <c r="J164" s="67"/>
      <c r="K164" s="67"/>
      <c r="L164" s="67"/>
      <c r="M164" s="67"/>
      <c r="N164" s="67"/>
      <c r="O164" s="67">
        <f t="shared" si="10"/>
        <v>26</v>
      </c>
      <c r="P164" s="67">
        <f>IF(B164="", 0, IFERROR(MIN(C164+D164, VLOOKUP(B164, '💳 Debt Input'!$A:$G, 4, FALSE)), 0))</f>
        <v>40</v>
      </c>
      <c r="Q164" s="67"/>
    </row>
    <row r="165" spans="1:17" ht="18" customHeight="1" x14ac:dyDescent="0.35">
      <c r="A165" s="28"/>
      <c r="B165" s="26" t="str">
        <f>'💳 Debt Input'!$A$5</f>
        <v>Medical Bill</v>
      </c>
      <c r="C165" s="27">
        <f t="shared" si="11"/>
        <v>0</v>
      </c>
      <c r="D165" s="27">
        <f>ROUND(C165*'💳 Debt Input'!$C$5/12,2)</f>
        <v>0</v>
      </c>
      <c r="E165" s="27">
        <f>IF(B165="", "", MIN(C165+D165, MAX(P165, $F$3 - SUMIFS(E$10:E164, O$10:O164, O165) - SUMIFS(P166:P$1995, O166:O$1995, O165))))</f>
        <v>0</v>
      </c>
      <c r="F165" s="27">
        <f t="shared" si="8"/>
        <v>0</v>
      </c>
      <c r="G165" s="28" t="str">
        <f t="shared" si="9"/>
        <v>Paid off</v>
      </c>
      <c r="H165" s="29"/>
      <c r="J165" s="67"/>
      <c r="K165" s="67"/>
      <c r="L165" s="67"/>
      <c r="M165" s="67"/>
      <c r="N165" s="67"/>
      <c r="O165" s="67">
        <f t="shared" si="10"/>
        <v>26</v>
      </c>
      <c r="P165" s="67">
        <f>IF(B165="", 0, IFERROR(MIN(C165+D165, VLOOKUP(B165, '💳 Debt Input'!$A:$G, 4, FALSE)), 0))</f>
        <v>0</v>
      </c>
      <c r="Q165" s="67"/>
    </row>
    <row r="166" spans="1:17" ht="18" customHeight="1" x14ac:dyDescent="0.35">
      <c r="A166" s="28"/>
      <c r="B166" s="26" t="str">
        <f>'💳 Debt Input'!$A$4</f>
        <v>Store Card</v>
      </c>
      <c r="C166" s="27">
        <f t="shared" si="11"/>
        <v>0</v>
      </c>
      <c r="D166" s="27">
        <f>ROUND(C166*'💳 Debt Input'!$C$4/12,2)</f>
        <v>0</v>
      </c>
      <c r="E166" s="27">
        <f>IF(B166="", "", MIN(C166+D166, MAX(P166, $F$3 - SUMIFS(E$10:E165, O$10:O165, O166) - SUMIFS(P167:P$1995, O167:O$1995, O166))))</f>
        <v>0</v>
      </c>
      <c r="F166" s="27">
        <f t="shared" si="8"/>
        <v>0</v>
      </c>
      <c r="G166" s="28" t="str">
        <f t="shared" si="9"/>
        <v>Paid off</v>
      </c>
      <c r="H166" s="29"/>
      <c r="J166" s="67"/>
      <c r="K166" s="67"/>
      <c r="L166" s="67"/>
      <c r="M166" s="67"/>
      <c r="N166" s="67"/>
      <c r="O166" s="67">
        <f t="shared" si="10"/>
        <v>26</v>
      </c>
      <c r="P166" s="67">
        <f>IF(B166="", 0, IFERROR(MIN(C166+D166, VLOOKUP(B166, '💳 Debt Input'!$A:$G, 4, FALSE)), 0))</f>
        <v>0</v>
      </c>
      <c r="Q166" s="67"/>
    </row>
    <row r="167" spans="1:17" ht="18" customHeight="1" x14ac:dyDescent="0.35">
      <c r="A167" s="24">
        <v>27</v>
      </c>
      <c r="B167" s="8" t="str">
        <f>'💳 Debt Input'!$A$9</f>
        <v>Rewards Visa</v>
      </c>
      <c r="C167" s="10">
        <f t="shared" si="11"/>
        <v>13350.34</v>
      </c>
      <c r="D167" s="10">
        <f>ROUND(C167*'💳 Debt Input'!$C$9/12,2)</f>
        <v>400.51</v>
      </c>
      <c r="E167" s="10">
        <f>IF(B167="", "", MIN(C167+D167, MAX(P167, $F$3 - SUMIFS(E$10:E166, O$10:O166, O167) - SUMIFS(P168:P$1995, O168:O$1995, O167))))</f>
        <v>580</v>
      </c>
      <c r="F167" s="10">
        <f t="shared" si="8"/>
        <v>13170.85</v>
      </c>
      <c r="G167" s="19" t="str">
        <f t="shared" si="9"/>
        <v>Active</v>
      </c>
      <c r="H167" s="20"/>
      <c r="J167" s="67"/>
      <c r="K167" s="67"/>
      <c r="L167" s="67"/>
      <c r="M167" s="67"/>
      <c r="N167" s="67"/>
      <c r="O167" s="67">
        <f t="shared" si="10"/>
        <v>27</v>
      </c>
      <c r="P167" s="67">
        <f>IF(B167="", 0, IFERROR(MIN(C167+D167, VLOOKUP(B167, '💳 Debt Input'!$A:$G, 4, FALSE)), 0))</f>
        <v>480</v>
      </c>
      <c r="Q167" s="67"/>
    </row>
    <row r="168" spans="1:17" ht="18" customHeight="1" x14ac:dyDescent="0.35">
      <c r="A168" s="19"/>
      <c r="B168" s="8" t="str">
        <f>'💳 Debt Input'!$A$8</f>
        <v>Travel Card</v>
      </c>
      <c r="C168" s="10">
        <f t="shared" si="11"/>
        <v>4745.63</v>
      </c>
      <c r="D168" s="10">
        <f>ROUND(C168*'💳 Debt Input'!$C$8/12,2)</f>
        <v>71.180000000000007</v>
      </c>
      <c r="E168" s="10">
        <f>IF(B168="", "", MIN(C168+D168, MAX(P168, $F$3 - SUMIFS(E$10:E167, O$10:O167, O168) - SUMIFS(P169:P$1995, O169:O$1995, O168))))</f>
        <v>270</v>
      </c>
      <c r="F168" s="10">
        <f t="shared" si="8"/>
        <v>4546.8100000000004</v>
      </c>
      <c r="G168" s="19" t="str">
        <f t="shared" si="9"/>
        <v>Active</v>
      </c>
      <c r="H168" s="20"/>
      <c r="J168" s="67"/>
      <c r="K168" s="67"/>
      <c r="L168" s="67"/>
      <c r="M168" s="67"/>
      <c r="N168" s="67"/>
      <c r="O168" s="67">
        <f t="shared" si="10"/>
        <v>27</v>
      </c>
      <c r="P168" s="67">
        <f>IF(B168="", 0, IFERROR(MIN(C168+D168, VLOOKUP(B168, '💳 Debt Input'!$A:$G, 4, FALSE)), 0))</f>
        <v>270</v>
      </c>
      <c r="Q168" s="67"/>
    </row>
    <row r="169" spans="1:17" ht="18" customHeight="1" x14ac:dyDescent="0.35">
      <c r="A169" s="19"/>
      <c r="B169" s="8" t="str">
        <f>'💳 Debt Input'!$A$7</f>
        <v>Auto Loan</v>
      </c>
      <c r="C169" s="10">
        <f t="shared" si="11"/>
        <v>1495.5</v>
      </c>
      <c r="D169" s="10">
        <f>ROUND(C169*'💳 Debt Input'!$C$7/12,2)</f>
        <v>12.46</v>
      </c>
      <c r="E169" s="10">
        <f>IF(B169="", "", MIN(C169+D169, MAX(P169, $F$3 - SUMIFS(E$10:E168, O$10:O168, O169) - SUMIFS(P170:P$1995, O170:O$1995, O169))))</f>
        <v>120</v>
      </c>
      <c r="F169" s="10">
        <f t="shared" si="8"/>
        <v>1387.96</v>
      </c>
      <c r="G169" s="19" t="str">
        <f t="shared" si="9"/>
        <v>Active</v>
      </c>
      <c r="H169" s="20"/>
      <c r="J169" s="67"/>
      <c r="K169" s="67"/>
      <c r="L169" s="67"/>
      <c r="M169" s="67"/>
      <c r="N169" s="67"/>
      <c r="O169" s="67">
        <f t="shared" si="10"/>
        <v>27</v>
      </c>
      <c r="P169" s="67">
        <f>IF(B169="", 0, IFERROR(MIN(C169+D169, VLOOKUP(B169, '💳 Debt Input'!$A:$G, 4, FALSE)), 0))</f>
        <v>120</v>
      </c>
      <c r="Q169" s="67"/>
    </row>
    <row r="170" spans="1:17" ht="18" customHeight="1" x14ac:dyDescent="0.35">
      <c r="A170" s="19"/>
      <c r="B170" s="8" t="str">
        <f>'💳 Debt Input'!$A$6</f>
        <v>Personal Loan</v>
      </c>
      <c r="C170" s="10">
        <f t="shared" si="11"/>
        <v>600.03</v>
      </c>
      <c r="D170" s="10">
        <f>ROUND(C170*'💳 Debt Input'!$C$6/12,2)</f>
        <v>3</v>
      </c>
      <c r="E170" s="10">
        <f>IF(B170="", "", MIN(C170+D170, MAX(P170, $F$3 - SUMIFS(E$10:E169, O$10:O169, O170) - SUMIFS(P171:P$1995, O171:O$1995, O170))))</f>
        <v>40</v>
      </c>
      <c r="F170" s="10">
        <f t="shared" si="8"/>
        <v>563.03</v>
      </c>
      <c r="G170" s="19" t="str">
        <f t="shared" si="9"/>
        <v>Active</v>
      </c>
      <c r="H170" s="20"/>
      <c r="J170" s="67"/>
      <c r="K170" s="67"/>
      <c r="L170" s="67"/>
      <c r="M170" s="67"/>
      <c r="N170" s="67"/>
      <c r="O170" s="67">
        <f t="shared" si="10"/>
        <v>27</v>
      </c>
      <c r="P170" s="67">
        <f>IF(B170="", 0, IFERROR(MIN(C170+D170, VLOOKUP(B170, '💳 Debt Input'!$A:$G, 4, FALSE)), 0))</f>
        <v>40</v>
      </c>
      <c r="Q170" s="67"/>
    </row>
    <row r="171" spans="1:17" ht="18" customHeight="1" x14ac:dyDescent="0.35">
      <c r="A171" s="28"/>
      <c r="B171" s="26" t="str">
        <f>'💳 Debt Input'!$A$5</f>
        <v>Medical Bill</v>
      </c>
      <c r="C171" s="27">
        <f t="shared" si="11"/>
        <v>0</v>
      </c>
      <c r="D171" s="27">
        <f>ROUND(C171*'💳 Debt Input'!$C$5/12,2)</f>
        <v>0</v>
      </c>
      <c r="E171" s="27">
        <f>IF(B171="", "", MIN(C171+D171, MAX(P171, $F$3 - SUMIFS(E$10:E170, O$10:O170, O171) - SUMIFS(P172:P$1995, O172:O$1995, O171))))</f>
        <v>0</v>
      </c>
      <c r="F171" s="27">
        <f t="shared" si="8"/>
        <v>0</v>
      </c>
      <c r="G171" s="28" t="str">
        <f t="shared" si="9"/>
        <v>Paid off</v>
      </c>
      <c r="H171" s="29"/>
      <c r="J171" s="67"/>
      <c r="K171" s="67"/>
      <c r="L171" s="67"/>
      <c r="M171" s="67"/>
      <c r="N171" s="67"/>
      <c r="O171" s="67">
        <f t="shared" si="10"/>
        <v>27</v>
      </c>
      <c r="P171" s="67">
        <f>IF(B171="", 0, IFERROR(MIN(C171+D171, VLOOKUP(B171, '💳 Debt Input'!$A:$G, 4, FALSE)), 0))</f>
        <v>0</v>
      </c>
      <c r="Q171" s="67"/>
    </row>
    <row r="172" spans="1:17" ht="18" customHeight="1" x14ac:dyDescent="0.35">
      <c r="A172" s="28"/>
      <c r="B172" s="26" t="str">
        <f>'💳 Debt Input'!$A$4</f>
        <v>Store Card</v>
      </c>
      <c r="C172" s="27">
        <f t="shared" si="11"/>
        <v>0</v>
      </c>
      <c r="D172" s="27">
        <f>ROUND(C172*'💳 Debt Input'!$C$4/12,2)</f>
        <v>0</v>
      </c>
      <c r="E172" s="27">
        <f>IF(B172="", "", MIN(C172+D172, MAX(P172, $F$3 - SUMIFS(E$10:E171, O$10:O171, O172) - SUMIFS(P173:P$1995, O173:O$1995, O172))))</f>
        <v>0</v>
      </c>
      <c r="F172" s="27">
        <f t="shared" si="8"/>
        <v>0</v>
      </c>
      <c r="G172" s="28" t="str">
        <f t="shared" si="9"/>
        <v>Paid off</v>
      </c>
      <c r="H172" s="29"/>
      <c r="J172" s="67"/>
      <c r="K172" s="67"/>
      <c r="L172" s="67"/>
      <c r="M172" s="67"/>
      <c r="N172" s="67"/>
      <c r="O172" s="67">
        <f t="shared" si="10"/>
        <v>27</v>
      </c>
      <c r="P172" s="67">
        <f>IF(B172="", 0, IFERROR(MIN(C172+D172, VLOOKUP(B172, '💳 Debt Input'!$A:$G, 4, FALSE)), 0))</f>
        <v>0</v>
      </c>
      <c r="Q172" s="67"/>
    </row>
    <row r="173" spans="1:17" ht="18" customHeight="1" x14ac:dyDescent="0.35">
      <c r="A173" s="21">
        <v>28</v>
      </c>
      <c r="B173" s="6" t="str">
        <f>'💳 Debt Input'!$A$9</f>
        <v>Rewards Visa</v>
      </c>
      <c r="C173" s="12">
        <f t="shared" si="11"/>
        <v>13170.85</v>
      </c>
      <c r="D173" s="12">
        <f>ROUND(C173*'💳 Debt Input'!$C$9/12,2)</f>
        <v>395.13</v>
      </c>
      <c r="E173" s="12">
        <f>IF(B173="", "", MIN(C173+D173, MAX(P173, $F$3 - SUMIFS(E$10:E172, O$10:O172, O173) - SUMIFS(P174:P$1995, O174:O$1995, O173))))</f>
        <v>580</v>
      </c>
      <c r="F173" s="12">
        <f t="shared" si="8"/>
        <v>12985.98</v>
      </c>
      <c r="G173" s="22" t="str">
        <f t="shared" si="9"/>
        <v>Active</v>
      </c>
      <c r="H173" s="23"/>
      <c r="J173" s="67"/>
      <c r="K173" s="67"/>
      <c r="L173" s="67"/>
      <c r="M173" s="67"/>
      <c r="N173" s="67"/>
      <c r="O173" s="67">
        <f t="shared" si="10"/>
        <v>28</v>
      </c>
      <c r="P173" s="67">
        <f>IF(B173="", 0, IFERROR(MIN(C173+D173, VLOOKUP(B173, '💳 Debt Input'!$A:$G, 4, FALSE)), 0))</f>
        <v>480</v>
      </c>
      <c r="Q173" s="67"/>
    </row>
    <row r="174" spans="1:17" ht="18" customHeight="1" x14ac:dyDescent="0.35">
      <c r="A174" s="22"/>
      <c r="B174" s="6" t="str">
        <f>'💳 Debt Input'!$A$8</f>
        <v>Travel Card</v>
      </c>
      <c r="C174" s="12">
        <f t="shared" si="11"/>
        <v>4546.8100000000004</v>
      </c>
      <c r="D174" s="12">
        <f>ROUND(C174*'💳 Debt Input'!$C$8/12,2)</f>
        <v>68.2</v>
      </c>
      <c r="E174" s="12">
        <f>IF(B174="", "", MIN(C174+D174, MAX(P174, $F$3 - SUMIFS(E$10:E173, O$10:O173, O174) - SUMIFS(P175:P$1995, O175:O$1995, O174))))</f>
        <v>270</v>
      </c>
      <c r="F174" s="12">
        <f t="shared" si="8"/>
        <v>4345.01</v>
      </c>
      <c r="G174" s="22" t="str">
        <f t="shared" si="9"/>
        <v>Active</v>
      </c>
      <c r="H174" s="23"/>
      <c r="J174" s="67"/>
      <c r="K174" s="67"/>
      <c r="L174" s="67"/>
      <c r="M174" s="67"/>
      <c r="N174" s="67"/>
      <c r="O174" s="67">
        <f t="shared" si="10"/>
        <v>28</v>
      </c>
      <c r="P174" s="67">
        <f>IF(B174="", 0, IFERROR(MIN(C174+D174, VLOOKUP(B174, '💳 Debt Input'!$A:$G, 4, FALSE)), 0))</f>
        <v>270</v>
      </c>
      <c r="Q174" s="67"/>
    </row>
    <row r="175" spans="1:17" ht="18" customHeight="1" x14ac:dyDescent="0.35">
      <c r="A175" s="22"/>
      <c r="B175" s="6" t="str">
        <f>'💳 Debt Input'!$A$7</f>
        <v>Auto Loan</v>
      </c>
      <c r="C175" s="12">
        <f t="shared" si="11"/>
        <v>1387.96</v>
      </c>
      <c r="D175" s="12">
        <f>ROUND(C175*'💳 Debt Input'!$C$7/12,2)</f>
        <v>11.57</v>
      </c>
      <c r="E175" s="12">
        <f>IF(B175="", "", MIN(C175+D175, MAX(P175, $F$3 - SUMIFS(E$10:E174, O$10:O174, O175) - SUMIFS(P176:P$1995, O176:O$1995, O175))))</f>
        <v>120</v>
      </c>
      <c r="F175" s="12">
        <f t="shared" si="8"/>
        <v>1279.53</v>
      </c>
      <c r="G175" s="22" t="str">
        <f t="shared" si="9"/>
        <v>Active</v>
      </c>
      <c r="H175" s="23"/>
      <c r="J175" s="67"/>
      <c r="K175" s="67"/>
      <c r="L175" s="67"/>
      <c r="M175" s="67"/>
      <c r="N175" s="67"/>
      <c r="O175" s="67">
        <f t="shared" si="10"/>
        <v>28</v>
      </c>
      <c r="P175" s="67">
        <f>IF(B175="", 0, IFERROR(MIN(C175+D175, VLOOKUP(B175, '💳 Debt Input'!$A:$G, 4, FALSE)), 0))</f>
        <v>120</v>
      </c>
      <c r="Q175" s="67"/>
    </row>
    <row r="176" spans="1:17" ht="18" customHeight="1" x14ac:dyDescent="0.35">
      <c r="A176" s="22"/>
      <c r="B176" s="6" t="str">
        <f>'💳 Debt Input'!$A$6</f>
        <v>Personal Loan</v>
      </c>
      <c r="C176" s="12">
        <f t="shared" si="11"/>
        <v>563.03</v>
      </c>
      <c r="D176" s="12">
        <f>ROUND(C176*'💳 Debt Input'!$C$6/12,2)</f>
        <v>2.82</v>
      </c>
      <c r="E176" s="12">
        <f>IF(B176="", "", MIN(C176+D176, MAX(P176, $F$3 - SUMIFS(E$10:E175, O$10:O175, O176) - SUMIFS(P177:P$1995, O177:O$1995, O176))))</f>
        <v>40</v>
      </c>
      <c r="F176" s="12">
        <f t="shared" si="8"/>
        <v>525.85</v>
      </c>
      <c r="G176" s="22" t="str">
        <f t="shared" si="9"/>
        <v>Active</v>
      </c>
      <c r="H176" s="23"/>
      <c r="J176" s="67"/>
      <c r="K176" s="67"/>
      <c r="L176" s="67"/>
      <c r="M176" s="67"/>
      <c r="N176" s="67"/>
      <c r="O176" s="67">
        <f t="shared" si="10"/>
        <v>28</v>
      </c>
      <c r="P176" s="67">
        <f>IF(B176="", 0, IFERROR(MIN(C176+D176, VLOOKUP(B176, '💳 Debt Input'!$A:$G, 4, FALSE)), 0))</f>
        <v>40</v>
      </c>
      <c r="Q176" s="67"/>
    </row>
    <row r="177" spans="1:17" ht="18" customHeight="1" x14ac:dyDescent="0.35">
      <c r="A177" s="28"/>
      <c r="B177" s="26" t="str">
        <f>'💳 Debt Input'!$A$5</f>
        <v>Medical Bill</v>
      </c>
      <c r="C177" s="27">
        <f t="shared" si="11"/>
        <v>0</v>
      </c>
      <c r="D177" s="27">
        <f>ROUND(C177*'💳 Debt Input'!$C$5/12,2)</f>
        <v>0</v>
      </c>
      <c r="E177" s="27">
        <f>IF(B177="", "", MIN(C177+D177, MAX(P177, $F$3 - SUMIFS(E$10:E176, O$10:O176, O177) - SUMIFS(P178:P$1995, O178:O$1995, O177))))</f>
        <v>0</v>
      </c>
      <c r="F177" s="27">
        <f t="shared" si="8"/>
        <v>0</v>
      </c>
      <c r="G177" s="28" t="str">
        <f t="shared" si="9"/>
        <v>Paid off</v>
      </c>
      <c r="H177" s="29"/>
      <c r="J177" s="67"/>
      <c r="K177" s="67"/>
      <c r="L177" s="67"/>
      <c r="M177" s="67"/>
      <c r="N177" s="67"/>
      <c r="O177" s="67">
        <f t="shared" si="10"/>
        <v>28</v>
      </c>
      <c r="P177" s="67">
        <f>IF(B177="", 0, IFERROR(MIN(C177+D177, VLOOKUP(B177, '💳 Debt Input'!$A:$G, 4, FALSE)), 0))</f>
        <v>0</v>
      </c>
      <c r="Q177" s="67"/>
    </row>
    <row r="178" spans="1:17" ht="18" customHeight="1" x14ac:dyDescent="0.35">
      <c r="A178" s="28"/>
      <c r="B178" s="26" t="str">
        <f>'💳 Debt Input'!$A$4</f>
        <v>Store Card</v>
      </c>
      <c r="C178" s="27">
        <f t="shared" si="11"/>
        <v>0</v>
      </c>
      <c r="D178" s="27">
        <f>ROUND(C178*'💳 Debt Input'!$C$4/12,2)</f>
        <v>0</v>
      </c>
      <c r="E178" s="27">
        <f>IF(B178="", "", MIN(C178+D178, MAX(P178, $F$3 - SUMIFS(E$10:E177, O$10:O177, O178) - SUMIFS(P179:P$1995, O179:O$1995, O178))))</f>
        <v>0</v>
      </c>
      <c r="F178" s="27">
        <f t="shared" si="8"/>
        <v>0</v>
      </c>
      <c r="G178" s="28" t="str">
        <f t="shared" si="9"/>
        <v>Paid off</v>
      </c>
      <c r="H178" s="29"/>
      <c r="J178" s="67"/>
      <c r="K178" s="67"/>
      <c r="L178" s="67"/>
      <c r="M178" s="67"/>
      <c r="N178" s="67"/>
      <c r="O178" s="67">
        <f t="shared" si="10"/>
        <v>28</v>
      </c>
      <c r="P178" s="67">
        <f>IF(B178="", 0, IFERROR(MIN(C178+D178, VLOOKUP(B178, '💳 Debt Input'!$A:$G, 4, FALSE)), 0))</f>
        <v>0</v>
      </c>
      <c r="Q178" s="67"/>
    </row>
    <row r="179" spans="1:17" ht="18" customHeight="1" x14ac:dyDescent="0.35">
      <c r="A179" s="24">
        <v>29</v>
      </c>
      <c r="B179" s="8" t="str">
        <f>'💳 Debt Input'!$A$9</f>
        <v>Rewards Visa</v>
      </c>
      <c r="C179" s="10">
        <f t="shared" si="11"/>
        <v>12985.98</v>
      </c>
      <c r="D179" s="10">
        <f>ROUND(C179*'💳 Debt Input'!$C$9/12,2)</f>
        <v>389.58</v>
      </c>
      <c r="E179" s="10">
        <f>IF(B179="", "", MIN(C179+D179, MAX(P179, $F$3 - SUMIFS(E$10:E178, O$10:O178, O179) - SUMIFS(P180:P$1995, O180:O$1995, O179))))</f>
        <v>580</v>
      </c>
      <c r="F179" s="10">
        <f t="shared" si="8"/>
        <v>12795.56</v>
      </c>
      <c r="G179" s="19" t="str">
        <f t="shared" si="9"/>
        <v>Active</v>
      </c>
      <c r="H179" s="20"/>
      <c r="J179" s="67"/>
      <c r="K179" s="67"/>
      <c r="L179" s="67"/>
      <c r="M179" s="67"/>
      <c r="N179" s="67"/>
      <c r="O179" s="67">
        <f t="shared" si="10"/>
        <v>29</v>
      </c>
      <c r="P179" s="67">
        <f>IF(B179="", 0, IFERROR(MIN(C179+D179, VLOOKUP(B179, '💳 Debt Input'!$A:$G, 4, FALSE)), 0))</f>
        <v>480</v>
      </c>
      <c r="Q179" s="67"/>
    </row>
    <row r="180" spans="1:17" ht="18" customHeight="1" x14ac:dyDescent="0.35">
      <c r="A180" s="19"/>
      <c r="B180" s="8" t="str">
        <f>'💳 Debt Input'!$A$8</f>
        <v>Travel Card</v>
      </c>
      <c r="C180" s="10">
        <f t="shared" si="11"/>
        <v>4345.01</v>
      </c>
      <c r="D180" s="10">
        <f>ROUND(C180*'💳 Debt Input'!$C$8/12,2)</f>
        <v>65.180000000000007</v>
      </c>
      <c r="E180" s="10">
        <f>IF(B180="", "", MIN(C180+D180, MAX(P180, $F$3 - SUMIFS(E$10:E179, O$10:O179, O180) - SUMIFS(P181:P$1995, O181:O$1995, O180))))</f>
        <v>270</v>
      </c>
      <c r="F180" s="10">
        <f t="shared" si="8"/>
        <v>4140.1899999999996</v>
      </c>
      <c r="G180" s="19" t="str">
        <f t="shared" si="9"/>
        <v>Active</v>
      </c>
      <c r="H180" s="20"/>
      <c r="J180" s="67"/>
      <c r="K180" s="67"/>
      <c r="L180" s="67"/>
      <c r="M180" s="67"/>
      <c r="N180" s="67"/>
      <c r="O180" s="67">
        <f t="shared" si="10"/>
        <v>29</v>
      </c>
      <c r="P180" s="67">
        <f>IF(B180="", 0, IFERROR(MIN(C180+D180, VLOOKUP(B180, '💳 Debt Input'!$A:$G, 4, FALSE)), 0))</f>
        <v>270</v>
      </c>
      <c r="Q180" s="67"/>
    </row>
    <row r="181" spans="1:17" ht="18" customHeight="1" x14ac:dyDescent="0.35">
      <c r="A181" s="19"/>
      <c r="B181" s="8" t="str">
        <f>'💳 Debt Input'!$A$7</f>
        <v>Auto Loan</v>
      </c>
      <c r="C181" s="10">
        <f t="shared" si="11"/>
        <v>1279.53</v>
      </c>
      <c r="D181" s="10">
        <f>ROUND(C181*'💳 Debt Input'!$C$7/12,2)</f>
        <v>10.66</v>
      </c>
      <c r="E181" s="10">
        <f>IF(B181="", "", MIN(C181+D181, MAX(P181, $F$3 - SUMIFS(E$10:E180, O$10:O180, O181) - SUMIFS(P182:P$1995, O182:O$1995, O181))))</f>
        <v>120</v>
      </c>
      <c r="F181" s="10">
        <f t="shared" si="8"/>
        <v>1170.19</v>
      </c>
      <c r="G181" s="19" t="str">
        <f t="shared" si="9"/>
        <v>Active</v>
      </c>
      <c r="H181" s="20"/>
      <c r="J181" s="67"/>
      <c r="K181" s="67"/>
      <c r="L181" s="67"/>
      <c r="M181" s="67"/>
      <c r="N181" s="67"/>
      <c r="O181" s="67">
        <f t="shared" si="10"/>
        <v>29</v>
      </c>
      <c r="P181" s="67">
        <f>IF(B181="", 0, IFERROR(MIN(C181+D181, VLOOKUP(B181, '💳 Debt Input'!$A:$G, 4, FALSE)), 0))</f>
        <v>120</v>
      </c>
      <c r="Q181" s="67"/>
    </row>
    <row r="182" spans="1:17" ht="18" customHeight="1" x14ac:dyDescent="0.35">
      <c r="A182" s="19"/>
      <c r="B182" s="8" t="str">
        <f>'💳 Debt Input'!$A$6</f>
        <v>Personal Loan</v>
      </c>
      <c r="C182" s="10">
        <f t="shared" si="11"/>
        <v>525.85</v>
      </c>
      <c r="D182" s="10">
        <f>ROUND(C182*'💳 Debt Input'!$C$6/12,2)</f>
        <v>2.63</v>
      </c>
      <c r="E182" s="10">
        <f>IF(B182="", "", MIN(C182+D182, MAX(P182, $F$3 - SUMIFS(E$10:E181, O$10:O181, O182) - SUMIFS(P183:P$1995, O183:O$1995, O182))))</f>
        <v>40</v>
      </c>
      <c r="F182" s="10">
        <f t="shared" si="8"/>
        <v>488.48</v>
      </c>
      <c r="G182" s="19" t="str">
        <f t="shared" si="9"/>
        <v>Active</v>
      </c>
      <c r="H182" s="20"/>
      <c r="J182" s="67"/>
      <c r="K182" s="67"/>
      <c r="L182" s="67"/>
      <c r="M182" s="67"/>
      <c r="N182" s="67"/>
      <c r="O182" s="67">
        <f t="shared" si="10"/>
        <v>29</v>
      </c>
      <c r="P182" s="67">
        <f>IF(B182="", 0, IFERROR(MIN(C182+D182, VLOOKUP(B182, '💳 Debt Input'!$A:$G, 4, FALSE)), 0))</f>
        <v>40</v>
      </c>
      <c r="Q182" s="67"/>
    </row>
    <row r="183" spans="1:17" ht="18" customHeight="1" x14ac:dyDescent="0.35">
      <c r="A183" s="28"/>
      <c r="B183" s="26" t="str">
        <f>'💳 Debt Input'!$A$5</f>
        <v>Medical Bill</v>
      </c>
      <c r="C183" s="27">
        <f t="shared" si="11"/>
        <v>0</v>
      </c>
      <c r="D183" s="27">
        <f>ROUND(C183*'💳 Debt Input'!$C$5/12,2)</f>
        <v>0</v>
      </c>
      <c r="E183" s="27">
        <f>IF(B183="", "", MIN(C183+D183, MAX(P183, $F$3 - SUMIFS(E$10:E182, O$10:O182, O183) - SUMIFS(P184:P$1995, O184:O$1995, O183))))</f>
        <v>0</v>
      </c>
      <c r="F183" s="27">
        <f t="shared" si="8"/>
        <v>0</v>
      </c>
      <c r="G183" s="28" t="str">
        <f t="shared" si="9"/>
        <v>Paid off</v>
      </c>
      <c r="H183" s="29"/>
      <c r="J183" s="67"/>
      <c r="K183" s="67"/>
      <c r="L183" s="67"/>
      <c r="M183" s="67"/>
      <c r="N183" s="67"/>
      <c r="O183" s="67">
        <f t="shared" si="10"/>
        <v>29</v>
      </c>
      <c r="P183" s="67">
        <f>IF(B183="", 0, IFERROR(MIN(C183+D183, VLOOKUP(B183, '💳 Debt Input'!$A:$G, 4, FALSE)), 0))</f>
        <v>0</v>
      </c>
      <c r="Q183" s="67"/>
    </row>
    <row r="184" spans="1:17" ht="18" customHeight="1" x14ac:dyDescent="0.35">
      <c r="A184" s="28"/>
      <c r="B184" s="26" t="str">
        <f>'💳 Debt Input'!$A$4</f>
        <v>Store Card</v>
      </c>
      <c r="C184" s="27">
        <f t="shared" si="11"/>
        <v>0</v>
      </c>
      <c r="D184" s="27">
        <f>ROUND(C184*'💳 Debt Input'!$C$4/12,2)</f>
        <v>0</v>
      </c>
      <c r="E184" s="27">
        <f>IF(B184="", "", MIN(C184+D184, MAX(P184, $F$3 - SUMIFS(E$10:E183, O$10:O183, O184) - SUMIFS(P185:P$1995, O185:O$1995, O184))))</f>
        <v>0</v>
      </c>
      <c r="F184" s="27">
        <f t="shared" si="8"/>
        <v>0</v>
      </c>
      <c r="G184" s="28" t="str">
        <f t="shared" si="9"/>
        <v>Paid off</v>
      </c>
      <c r="H184" s="29"/>
      <c r="J184" s="67"/>
      <c r="K184" s="67"/>
      <c r="L184" s="67"/>
      <c r="M184" s="67"/>
      <c r="N184" s="67"/>
      <c r="O184" s="67">
        <f t="shared" si="10"/>
        <v>29</v>
      </c>
      <c r="P184" s="67">
        <f>IF(B184="", 0, IFERROR(MIN(C184+D184, VLOOKUP(B184, '💳 Debt Input'!$A:$G, 4, FALSE)), 0))</f>
        <v>0</v>
      </c>
      <c r="Q184" s="67"/>
    </row>
    <row r="185" spans="1:17" ht="18" customHeight="1" x14ac:dyDescent="0.35">
      <c r="A185" s="21">
        <v>30</v>
      </c>
      <c r="B185" s="6" t="str">
        <f>'💳 Debt Input'!$A$9</f>
        <v>Rewards Visa</v>
      </c>
      <c r="C185" s="12">
        <f t="shared" si="11"/>
        <v>12795.56</v>
      </c>
      <c r="D185" s="12">
        <f>ROUND(C185*'💳 Debt Input'!$C$9/12,2)</f>
        <v>383.87</v>
      </c>
      <c r="E185" s="12">
        <f>IF(B185="", "", MIN(C185+D185, MAX(P185, $F$3 - SUMIFS(E$10:E184, O$10:O184, O185) - SUMIFS(P186:P$1995, O186:O$1995, O185))))</f>
        <v>580</v>
      </c>
      <c r="F185" s="12">
        <f t="shared" si="8"/>
        <v>12599.43</v>
      </c>
      <c r="G185" s="22" t="str">
        <f t="shared" si="9"/>
        <v>Active</v>
      </c>
      <c r="H185" s="23"/>
      <c r="J185" s="67"/>
      <c r="K185" s="67"/>
      <c r="L185" s="67"/>
      <c r="M185" s="67"/>
      <c r="N185" s="67"/>
      <c r="O185" s="67">
        <f t="shared" si="10"/>
        <v>30</v>
      </c>
      <c r="P185" s="67">
        <f>IF(B185="", 0, IFERROR(MIN(C185+D185, VLOOKUP(B185, '💳 Debt Input'!$A:$G, 4, FALSE)), 0))</f>
        <v>480</v>
      </c>
      <c r="Q185" s="67"/>
    </row>
    <row r="186" spans="1:17" ht="18" customHeight="1" x14ac:dyDescent="0.35">
      <c r="A186" s="22"/>
      <c r="B186" s="6" t="str">
        <f>'💳 Debt Input'!$A$8</f>
        <v>Travel Card</v>
      </c>
      <c r="C186" s="12">
        <f t="shared" si="11"/>
        <v>4140.1899999999996</v>
      </c>
      <c r="D186" s="12">
        <f>ROUND(C186*'💳 Debt Input'!$C$8/12,2)</f>
        <v>62.1</v>
      </c>
      <c r="E186" s="12">
        <f>IF(B186="", "", MIN(C186+D186, MAX(P186, $F$3 - SUMIFS(E$10:E185, O$10:O185, O186) - SUMIFS(P187:P$1995, O187:O$1995, O186))))</f>
        <v>270</v>
      </c>
      <c r="F186" s="12">
        <f t="shared" si="8"/>
        <v>3932.29</v>
      </c>
      <c r="G186" s="22" t="str">
        <f t="shared" si="9"/>
        <v>Active</v>
      </c>
      <c r="H186" s="23"/>
      <c r="J186" s="67"/>
      <c r="K186" s="67"/>
      <c r="L186" s="67"/>
      <c r="M186" s="67"/>
      <c r="N186" s="67"/>
      <c r="O186" s="67">
        <f t="shared" si="10"/>
        <v>30</v>
      </c>
      <c r="P186" s="67">
        <f>IF(B186="", 0, IFERROR(MIN(C186+D186, VLOOKUP(B186, '💳 Debt Input'!$A:$G, 4, FALSE)), 0))</f>
        <v>270</v>
      </c>
      <c r="Q186" s="67"/>
    </row>
    <row r="187" spans="1:17" ht="18" customHeight="1" x14ac:dyDescent="0.35">
      <c r="A187" s="22"/>
      <c r="B187" s="6" t="str">
        <f>'💳 Debt Input'!$A$7</f>
        <v>Auto Loan</v>
      </c>
      <c r="C187" s="12">
        <f t="shared" si="11"/>
        <v>1170.19</v>
      </c>
      <c r="D187" s="12">
        <f>ROUND(C187*'💳 Debt Input'!$C$7/12,2)</f>
        <v>9.75</v>
      </c>
      <c r="E187" s="12">
        <f>IF(B187="", "", MIN(C187+D187, MAX(P187, $F$3 - SUMIFS(E$10:E186, O$10:O186, O187) - SUMIFS(P188:P$1995, O188:O$1995, O187))))</f>
        <v>120</v>
      </c>
      <c r="F187" s="12">
        <f t="shared" si="8"/>
        <v>1059.94</v>
      </c>
      <c r="G187" s="22" t="str">
        <f t="shared" si="9"/>
        <v>Active</v>
      </c>
      <c r="H187" s="23"/>
      <c r="J187" s="67"/>
      <c r="K187" s="67"/>
      <c r="L187" s="67"/>
      <c r="M187" s="67"/>
      <c r="N187" s="67"/>
      <c r="O187" s="67">
        <f t="shared" si="10"/>
        <v>30</v>
      </c>
      <c r="P187" s="67">
        <f>IF(B187="", 0, IFERROR(MIN(C187+D187, VLOOKUP(B187, '💳 Debt Input'!$A:$G, 4, FALSE)), 0))</f>
        <v>120</v>
      </c>
      <c r="Q187" s="67"/>
    </row>
    <row r="188" spans="1:17" ht="18" customHeight="1" x14ac:dyDescent="0.35">
      <c r="A188" s="22"/>
      <c r="B188" s="6" t="str">
        <f>'💳 Debt Input'!$A$6</f>
        <v>Personal Loan</v>
      </c>
      <c r="C188" s="12">
        <f t="shared" si="11"/>
        <v>488.48</v>
      </c>
      <c r="D188" s="12">
        <f>ROUND(C188*'💳 Debt Input'!$C$6/12,2)</f>
        <v>2.44</v>
      </c>
      <c r="E188" s="12">
        <f>IF(B188="", "", MIN(C188+D188, MAX(P188, $F$3 - SUMIFS(E$10:E187, O$10:O187, O188) - SUMIFS(P189:P$1995, O189:O$1995, O188))))</f>
        <v>40</v>
      </c>
      <c r="F188" s="12">
        <f t="shared" si="8"/>
        <v>450.92</v>
      </c>
      <c r="G188" s="22" t="str">
        <f t="shared" si="9"/>
        <v>Active</v>
      </c>
      <c r="H188" s="23"/>
      <c r="J188" s="67"/>
      <c r="K188" s="67"/>
      <c r="L188" s="67"/>
      <c r="M188" s="67"/>
      <c r="N188" s="67"/>
      <c r="O188" s="67">
        <f t="shared" si="10"/>
        <v>30</v>
      </c>
      <c r="P188" s="67">
        <f>IF(B188="", 0, IFERROR(MIN(C188+D188, VLOOKUP(B188, '💳 Debt Input'!$A:$G, 4, FALSE)), 0))</f>
        <v>40</v>
      </c>
      <c r="Q188" s="67"/>
    </row>
    <row r="189" spans="1:17" ht="18" customHeight="1" x14ac:dyDescent="0.35">
      <c r="A189" s="28"/>
      <c r="B189" s="26" t="str">
        <f>'💳 Debt Input'!$A$5</f>
        <v>Medical Bill</v>
      </c>
      <c r="C189" s="27">
        <f t="shared" si="11"/>
        <v>0</v>
      </c>
      <c r="D189" s="27">
        <f>ROUND(C189*'💳 Debt Input'!$C$5/12,2)</f>
        <v>0</v>
      </c>
      <c r="E189" s="27">
        <f>IF(B189="", "", MIN(C189+D189, MAX(P189, $F$3 - SUMIFS(E$10:E188, O$10:O188, O189) - SUMIFS(P190:P$1995, O190:O$1995, O189))))</f>
        <v>0</v>
      </c>
      <c r="F189" s="27">
        <f t="shared" si="8"/>
        <v>0</v>
      </c>
      <c r="G189" s="28" t="str">
        <f t="shared" si="9"/>
        <v>Paid off</v>
      </c>
      <c r="H189" s="29"/>
      <c r="J189" s="67"/>
      <c r="K189" s="67"/>
      <c r="L189" s="67"/>
      <c r="M189" s="67"/>
      <c r="N189" s="67"/>
      <c r="O189" s="67">
        <f t="shared" si="10"/>
        <v>30</v>
      </c>
      <c r="P189" s="67">
        <f>IF(B189="", 0, IFERROR(MIN(C189+D189, VLOOKUP(B189, '💳 Debt Input'!$A:$G, 4, FALSE)), 0))</f>
        <v>0</v>
      </c>
      <c r="Q189" s="67"/>
    </row>
    <row r="190" spans="1:17" ht="18" customHeight="1" x14ac:dyDescent="0.35">
      <c r="A190" s="28"/>
      <c r="B190" s="26" t="str">
        <f>'💳 Debt Input'!$A$4</f>
        <v>Store Card</v>
      </c>
      <c r="C190" s="27">
        <f t="shared" si="11"/>
        <v>0</v>
      </c>
      <c r="D190" s="27">
        <f>ROUND(C190*'💳 Debt Input'!$C$4/12,2)</f>
        <v>0</v>
      </c>
      <c r="E190" s="27">
        <f>IF(B190="", "", MIN(C190+D190, MAX(P190, $F$3 - SUMIFS(E$10:E189, O$10:O189, O190) - SUMIFS(P191:P$1995, O191:O$1995, O190))))</f>
        <v>0</v>
      </c>
      <c r="F190" s="27">
        <f t="shared" si="8"/>
        <v>0</v>
      </c>
      <c r="G190" s="28" t="str">
        <f t="shared" si="9"/>
        <v>Paid off</v>
      </c>
      <c r="H190" s="29"/>
      <c r="J190" s="67"/>
      <c r="K190" s="67"/>
      <c r="L190" s="67"/>
      <c r="M190" s="67"/>
      <c r="N190" s="67"/>
      <c r="O190" s="67">
        <f t="shared" si="10"/>
        <v>30</v>
      </c>
      <c r="P190" s="67">
        <f>IF(B190="", 0, IFERROR(MIN(C190+D190, VLOOKUP(B190, '💳 Debt Input'!$A:$G, 4, FALSE)), 0))</f>
        <v>0</v>
      </c>
      <c r="Q190" s="67"/>
    </row>
    <row r="191" spans="1:17" ht="18" customHeight="1" x14ac:dyDescent="0.35">
      <c r="A191" s="24">
        <v>31</v>
      </c>
      <c r="B191" s="8" t="str">
        <f>'💳 Debt Input'!$A$9</f>
        <v>Rewards Visa</v>
      </c>
      <c r="C191" s="10">
        <f t="shared" si="11"/>
        <v>12599.43</v>
      </c>
      <c r="D191" s="10">
        <f>ROUND(C191*'💳 Debt Input'!$C$9/12,2)</f>
        <v>377.98</v>
      </c>
      <c r="E191" s="10">
        <f>IF(B191="", "", MIN(C191+D191, MAX(P191, $F$3 - SUMIFS(E$10:E190, O$10:O190, O191) - SUMIFS(P192:P$1995, O192:O$1995, O191))))</f>
        <v>580</v>
      </c>
      <c r="F191" s="10">
        <f t="shared" si="8"/>
        <v>12397.41</v>
      </c>
      <c r="G191" s="19" t="str">
        <f t="shared" si="9"/>
        <v>Active</v>
      </c>
      <c r="H191" s="20"/>
      <c r="J191" s="67"/>
      <c r="K191" s="67"/>
      <c r="L191" s="67"/>
      <c r="M191" s="67"/>
      <c r="N191" s="67"/>
      <c r="O191" s="67">
        <f t="shared" si="10"/>
        <v>31</v>
      </c>
      <c r="P191" s="67">
        <f>IF(B191="", 0, IFERROR(MIN(C191+D191, VLOOKUP(B191, '💳 Debt Input'!$A:$G, 4, FALSE)), 0))</f>
        <v>480</v>
      </c>
      <c r="Q191" s="67"/>
    </row>
    <row r="192" spans="1:17" ht="18" customHeight="1" x14ac:dyDescent="0.35">
      <c r="A192" s="19"/>
      <c r="B192" s="8" t="str">
        <f>'💳 Debt Input'!$A$8</f>
        <v>Travel Card</v>
      </c>
      <c r="C192" s="10">
        <f t="shared" si="11"/>
        <v>3932.29</v>
      </c>
      <c r="D192" s="10">
        <f>ROUND(C192*'💳 Debt Input'!$C$8/12,2)</f>
        <v>58.98</v>
      </c>
      <c r="E192" s="10">
        <f>IF(B192="", "", MIN(C192+D192, MAX(P192, $F$3 - SUMIFS(E$10:E191, O$10:O191, O192) - SUMIFS(P193:P$1995, O193:O$1995, O192))))</f>
        <v>270</v>
      </c>
      <c r="F192" s="10">
        <f t="shared" si="8"/>
        <v>3721.27</v>
      </c>
      <c r="G192" s="19" t="str">
        <f t="shared" si="9"/>
        <v>Active</v>
      </c>
      <c r="H192" s="20"/>
      <c r="J192" s="67"/>
      <c r="K192" s="67"/>
      <c r="L192" s="67"/>
      <c r="M192" s="67"/>
      <c r="N192" s="67"/>
      <c r="O192" s="67">
        <f t="shared" si="10"/>
        <v>31</v>
      </c>
      <c r="P192" s="67">
        <f>IF(B192="", 0, IFERROR(MIN(C192+D192, VLOOKUP(B192, '💳 Debt Input'!$A:$G, 4, FALSE)), 0))</f>
        <v>270</v>
      </c>
      <c r="Q192" s="67"/>
    </row>
    <row r="193" spans="1:17" ht="18" customHeight="1" x14ac:dyDescent="0.35">
      <c r="A193" s="19"/>
      <c r="B193" s="8" t="str">
        <f>'💳 Debt Input'!$A$7</f>
        <v>Auto Loan</v>
      </c>
      <c r="C193" s="10">
        <f t="shared" si="11"/>
        <v>1059.94</v>
      </c>
      <c r="D193" s="10">
        <f>ROUND(C193*'💳 Debt Input'!$C$7/12,2)</f>
        <v>8.83</v>
      </c>
      <c r="E193" s="10">
        <f>IF(B193="", "", MIN(C193+D193, MAX(P193, $F$3 - SUMIFS(E$10:E192, O$10:O192, O193) - SUMIFS(P194:P$1995, O194:O$1995, O193))))</f>
        <v>120</v>
      </c>
      <c r="F193" s="10">
        <f t="shared" si="8"/>
        <v>948.77</v>
      </c>
      <c r="G193" s="19" t="str">
        <f t="shared" si="9"/>
        <v>Active</v>
      </c>
      <c r="H193" s="20"/>
      <c r="J193" s="67"/>
      <c r="K193" s="67"/>
      <c r="L193" s="67"/>
      <c r="M193" s="67"/>
      <c r="N193" s="67"/>
      <c r="O193" s="67">
        <f t="shared" si="10"/>
        <v>31</v>
      </c>
      <c r="P193" s="67">
        <f>IF(B193="", 0, IFERROR(MIN(C193+D193, VLOOKUP(B193, '💳 Debt Input'!$A:$G, 4, FALSE)), 0))</f>
        <v>120</v>
      </c>
      <c r="Q193" s="67"/>
    </row>
    <row r="194" spans="1:17" ht="18" customHeight="1" x14ac:dyDescent="0.35">
      <c r="A194" s="19"/>
      <c r="B194" s="8" t="str">
        <f>'💳 Debt Input'!$A$6</f>
        <v>Personal Loan</v>
      </c>
      <c r="C194" s="10">
        <f t="shared" si="11"/>
        <v>450.92</v>
      </c>
      <c r="D194" s="10">
        <f>ROUND(C194*'💳 Debt Input'!$C$6/12,2)</f>
        <v>2.25</v>
      </c>
      <c r="E194" s="10">
        <f>IF(B194="", "", MIN(C194+D194, MAX(P194, $F$3 - SUMIFS(E$10:E193, O$10:O193, O194) - SUMIFS(P195:P$1995, O195:O$1995, O194))))</f>
        <v>40</v>
      </c>
      <c r="F194" s="10">
        <f t="shared" si="8"/>
        <v>413.17</v>
      </c>
      <c r="G194" s="19" t="str">
        <f t="shared" si="9"/>
        <v>Active</v>
      </c>
      <c r="H194" s="20"/>
      <c r="J194" s="67"/>
      <c r="K194" s="67"/>
      <c r="L194" s="67"/>
      <c r="M194" s="67"/>
      <c r="N194" s="67"/>
      <c r="O194" s="67">
        <f t="shared" si="10"/>
        <v>31</v>
      </c>
      <c r="P194" s="67">
        <f>IF(B194="", 0, IFERROR(MIN(C194+D194, VLOOKUP(B194, '💳 Debt Input'!$A:$G, 4, FALSE)), 0))</f>
        <v>40</v>
      </c>
      <c r="Q194" s="67"/>
    </row>
    <row r="195" spans="1:17" ht="18" customHeight="1" x14ac:dyDescent="0.35">
      <c r="A195" s="28"/>
      <c r="B195" s="26" t="str">
        <f>'💳 Debt Input'!$A$5</f>
        <v>Medical Bill</v>
      </c>
      <c r="C195" s="27">
        <f t="shared" si="11"/>
        <v>0</v>
      </c>
      <c r="D195" s="27">
        <f>ROUND(C195*'💳 Debt Input'!$C$5/12,2)</f>
        <v>0</v>
      </c>
      <c r="E195" s="27">
        <f>IF(B195="", "", MIN(C195+D195, MAX(P195, $F$3 - SUMIFS(E$10:E194, O$10:O194, O195) - SUMIFS(P196:P$1995, O196:O$1995, O195))))</f>
        <v>0</v>
      </c>
      <c r="F195" s="27">
        <f t="shared" si="8"/>
        <v>0</v>
      </c>
      <c r="G195" s="28" t="str">
        <f t="shared" si="9"/>
        <v>Paid off</v>
      </c>
      <c r="H195" s="29"/>
      <c r="J195" s="67"/>
      <c r="K195" s="67"/>
      <c r="L195" s="67"/>
      <c r="M195" s="67"/>
      <c r="N195" s="67"/>
      <c r="O195" s="67">
        <f t="shared" si="10"/>
        <v>31</v>
      </c>
      <c r="P195" s="67">
        <f>IF(B195="", 0, IFERROR(MIN(C195+D195, VLOOKUP(B195, '💳 Debt Input'!$A:$G, 4, FALSE)), 0))</f>
        <v>0</v>
      </c>
      <c r="Q195" s="67"/>
    </row>
    <row r="196" spans="1:17" ht="18" customHeight="1" x14ac:dyDescent="0.35">
      <c r="A196" s="28"/>
      <c r="B196" s="26" t="str">
        <f>'💳 Debt Input'!$A$4</f>
        <v>Store Card</v>
      </c>
      <c r="C196" s="27">
        <f t="shared" si="11"/>
        <v>0</v>
      </c>
      <c r="D196" s="27">
        <f>ROUND(C196*'💳 Debt Input'!$C$4/12,2)</f>
        <v>0</v>
      </c>
      <c r="E196" s="27">
        <f>IF(B196="", "", MIN(C196+D196, MAX(P196, $F$3 - SUMIFS(E$10:E195, O$10:O195, O196) - SUMIFS(P197:P$1995, O197:O$1995, O196))))</f>
        <v>0</v>
      </c>
      <c r="F196" s="27">
        <f t="shared" si="8"/>
        <v>0</v>
      </c>
      <c r="G196" s="28" t="str">
        <f t="shared" si="9"/>
        <v>Paid off</v>
      </c>
      <c r="H196" s="29"/>
      <c r="J196" s="67"/>
      <c r="K196" s="67"/>
      <c r="L196" s="67"/>
      <c r="M196" s="67"/>
      <c r="N196" s="67"/>
      <c r="O196" s="67">
        <f t="shared" si="10"/>
        <v>31</v>
      </c>
      <c r="P196" s="67">
        <f>IF(B196="", 0, IFERROR(MIN(C196+D196, VLOOKUP(B196, '💳 Debt Input'!$A:$G, 4, FALSE)), 0))</f>
        <v>0</v>
      </c>
      <c r="Q196" s="67"/>
    </row>
    <row r="197" spans="1:17" ht="18" customHeight="1" x14ac:dyDescent="0.35">
      <c r="A197" s="21">
        <v>32</v>
      </c>
      <c r="B197" s="6" t="str">
        <f>'💳 Debt Input'!$A$9</f>
        <v>Rewards Visa</v>
      </c>
      <c r="C197" s="12">
        <f t="shared" si="11"/>
        <v>12397.41</v>
      </c>
      <c r="D197" s="12">
        <f>ROUND(C197*'💳 Debt Input'!$C$9/12,2)</f>
        <v>371.92</v>
      </c>
      <c r="E197" s="12">
        <f>IF(B197="", "", MIN(C197+D197, MAX(P197, $F$3 - SUMIFS(E$10:E196, O$10:O196, O197) - SUMIFS(P198:P$1995, O198:O$1995, O197))))</f>
        <v>580</v>
      </c>
      <c r="F197" s="12">
        <f t="shared" si="8"/>
        <v>12189.33</v>
      </c>
      <c r="G197" s="22" t="str">
        <f t="shared" si="9"/>
        <v>Active</v>
      </c>
      <c r="H197" s="23"/>
      <c r="J197" s="67"/>
      <c r="K197" s="67"/>
      <c r="L197" s="67"/>
      <c r="M197" s="67"/>
      <c r="N197" s="67"/>
      <c r="O197" s="67">
        <f t="shared" si="10"/>
        <v>32</v>
      </c>
      <c r="P197" s="67">
        <f>IF(B197="", 0, IFERROR(MIN(C197+D197, VLOOKUP(B197, '💳 Debt Input'!$A:$G, 4, FALSE)), 0))</f>
        <v>480</v>
      </c>
      <c r="Q197" s="67"/>
    </row>
    <row r="198" spans="1:17" ht="18" customHeight="1" x14ac:dyDescent="0.35">
      <c r="A198" s="22"/>
      <c r="B198" s="6" t="str">
        <f>'💳 Debt Input'!$A$8</f>
        <v>Travel Card</v>
      </c>
      <c r="C198" s="12">
        <f t="shared" si="11"/>
        <v>3721.27</v>
      </c>
      <c r="D198" s="12">
        <f>ROUND(C198*'💳 Debt Input'!$C$8/12,2)</f>
        <v>55.82</v>
      </c>
      <c r="E198" s="12">
        <f>IF(B198="", "", MIN(C198+D198, MAX(P198, $F$3 - SUMIFS(E$10:E197, O$10:O197, O198) - SUMIFS(P199:P$1995, O199:O$1995, O198))))</f>
        <v>270</v>
      </c>
      <c r="F198" s="12">
        <f t="shared" si="8"/>
        <v>3507.09</v>
      </c>
      <c r="G198" s="22" t="str">
        <f t="shared" si="9"/>
        <v>Active</v>
      </c>
      <c r="H198" s="23"/>
      <c r="J198" s="67"/>
      <c r="K198" s="67"/>
      <c r="L198" s="67"/>
      <c r="M198" s="67"/>
      <c r="N198" s="67"/>
      <c r="O198" s="67">
        <f t="shared" si="10"/>
        <v>32</v>
      </c>
      <c r="P198" s="67">
        <f>IF(B198="", 0, IFERROR(MIN(C198+D198, VLOOKUP(B198, '💳 Debt Input'!$A:$G, 4, FALSE)), 0))</f>
        <v>270</v>
      </c>
      <c r="Q198" s="67"/>
    </row>
    <row r="199" spans="1:17" ht="18" customHeight="1" x14ac:dyDescent="0.35">
      <c r="A199" s="22"/>
      <c r="B199" s="6" t="str">
        <f>'💳 Debt Input'!$A$7</f>
        <v>Auto Loan</v>
      </c>
      <c r="C199" s="12">
        <f t="shared" si="11"/>
        <v>948.77</v>
      </c>
      <c r="D199" s="12">
        <f>ROUND(C199*'💳 Debt Input'!$C$7/12,2)</f>
        <v>7.91</v>
      </c>
      <c r="E199" s="12">
        <f>IF(B199="", "", MIN(C199+D199, MAX(P199, $F$3 - SUMIFS(E$10:E198, O$10:O198, O199) - SUMIFS(P200:P$1995, O200:O$1995, O199))))</f>
        <v>120</v>
      </c>
      <c r="F199" s="12">
        <f t="shared" si="8"/>
        <v>836.68</v>
      </c>
      <c r="G199" s="22" t="str">
        <f t="shared" si="9"/>
        <v>Active</v>
      </c>
      <c r="H199" s="23"/>
      <c r="J199" s="67"/>
      <c r="K199" s="67"/>
      <c r="L199" s="67"/>
      <c r="M199" s="67"/>
      <c r="N199" s="67"/>
      <c r="O199" s="67">
        <f t="shared" si="10"/>
        <v>32</v>
      </c>
      <c r="P199" s="67">
        <f>IF(B199="", 0, IFERROR(MIN(C199+D199, VLOOKUP(B199, '💳 Debt Input'!$A:$G, 4, FALSE)), 0))</f>
        <v>120</v>
      </c>
      <c r="Q199" s="67"/>
    </row>
    <row r="200" spans="1:17" ht="18" customHeight="1" x14ac:dyDescent="0.35">
      <c r="A200" s="22"/>
      <c r="B200" s="6" t="str">
        <f>'💳 Debt Input'!$A$6</f>
        <v>Personal Loan</v>
      </c>
      <c r="C200" s="12">
        <f t="shared" si="11"/>
        <v>413.17</v>
      </c>
      <c r="D200" s="12">
        <f>ROUND(C200*'💳 Debt Input'!$C$6/12,2)</f>
        <v>2.0699999999999998</v>
      </c>
      <c r="E200" s="12">
        <f>IF(B200="", "", MIN(C200+D200, MAX(P200, $F$3 - SUMIFS(E$10:E199, O$10:O199, O200) - SUMIFS(P201:P$1995, O201:O$1995, O200))))</f>
        <v>40</v>
      </c>
      <c r="F200" s="12">
        <f t="shared" si="8"/>
        <v>375.24</v>
      </c>
      <c r="G200" s="22" t="str">
        <f t="shared" si="9"/>
        <v>Active</v>
      </c>
      <c r="H200" s="23"/>
      <c r="J200" s="67"/>
      <c r="K200" s="67"/>
      <c r="L200" s="67"/>
      <c r="M200" s="67"/>
      <c r="N200" s="67"/>
      <c r="O200" s="67">
        <f t="shared" si="10"/>
        <v>32</v>
      </c>
      <c r="P200" s="67">
        <f>IF(B200="", 0, IFERROR(MIN(C200+D200, VLOOKUP(B200, '💳 Debt Input'!$A:$G, 4, FALSE)), 0))</f>
        <v>40</v>
      </c>
      <c r="Q200" s="67"/>
    </row>
    <row r="201" spans="1:17" ht="18" customHeight="1" x14ac:dyDescent="0.35">
      <c r="A201" s="28"/>
      <c r="B201" s="26" t="str">
        <f>'💳 Debt Input'!$A$5</f>
        <v>Medical Bill</v>
      </c>
      <c r="C201" s="27">
        <f t="shared" si="11"/>
        <v>0</v>
      </c>
      <c r="D201" s="27">
        <f>ROUND(C201*'💳 Debt Input'!$C$5/12,2)</f>
        <v>0</v>
      </c>
      <c r="E201" s="27">
        <f>IF(B201="", "", MIN(C201+D201, MAX(P201, $F$3 - SUMIFS(E$10:E200, O$10:O200, O201) - SUMIFS(P202:P$1995, O202:O$1995, O201))))</f>
        <v>0</v>
      </c>
      <c r="F201" s="27">
        <f t="shared" si="8"/>
        <v>0</v>
      </c>
      <c r="G201" s="28" t="str">
        <f t="shared" si="9"/>
        <v>Paid off</v>
      </c>
      <c r="H201" s="29"/>
      <c r="J201" s="67"/>
      <c r="K201" s="67"/>
      <c r="L201" s="67"/>
      <c r="M201" s="67"/>
      <c r="N201" s="67"/>
      <c r="O201" s="67">
        <f t="shared" si="10"/>
        <v>32</v>
      </c>
      <c r="P201" s="67">
        <f>IF(B201="", 0, IFERROR(MIN(C201+D201, VLOOKUP(B201, '💳 Debt Input'!$A:$G, 4, FALSE)), 0))</f>
        <v>0</v>
      </c>
      <c r="Q201" s="67"/>
    </row>
    <row r="202" spans="1:17" ht="18" customHeight="1" x14ac:dyDescent="0.35">
      <c r="A202" s="28"/>
      <c r="B202" s="26" t="str">
        <f>'💳 Debt Input'!$A$4</f>
        <v>Store Card</v>
      </c>
      <c r="C202" s="27">
        <f t="shared" si="11"/>
        <v>0</v>
      </c>
      <c r="D202" s="27">
        <f>ROUND(C202*'💳 Debt Input'!$C$4/12,2)</f>
        <v>0</v>
      </c>
      <c r="E202" s="27">
        <f>IF(B202="", "", MIN(C202+D202, MAX(P202, $F$3 - SUMIFS(E$10:E201, O$10:O201, O202) - SUMIFS(P203:P$1995, O203:O$1995, O202))))</f>
        <v>0</v>
      </c>
      <c r="F202" s="27">
        <f t="shared" si="8"/>
        <v>0</v>
      </c>
      <c r="G202" s="28" t="str">
        <f t="shared" si="9"/>
        <v>Paid off</v>
      </c>
      <c r="H202" s="29"/>
      <c r="J202" s="67"/>
      <c r="K202" s="67"/>
      <c r="L202" s="67"/>
      <c r="M202" s="67"/>
      <c r="N202" s="67"/>
      <c r="O202" s="67">
        <f t="shared" si="10"/>
        <v>32</v>
      </c>
      <c r="P202" s="67">
        <f>IF(B202="", 0, IFERROR(MIN(C202+D202, VLOOKUP(B202, '💳 Debt Input'!$A:$G, 4, FALSE)), 0))</f>
        <v>0</v>
      </c>
      <c r="Q202" s="67"/>
    </row>
    <row r="203" spans="1:17" ht="18" customHeight="1" x14ac:dyDescent="0.35">
      <c r="A203" s="24">
        <v>33</v>
      </c>
      <c r="B203" s="8" t="str">
        <f>'💳 Debt Input'!$A$9</f>
        <v>Rewards Visa</v>
      </c>
      <c r="C203" s="10">
        <f t="shared" si="11"/>
        <v>12189.33</v>
      </c>
      <c r="D203" s="10">
        <f>ROUND(C203*'💳 Debt Input'!$C$9/12,2)</f>
        <v>365.68</v>
      </c>
      <c r="E203" s="10">
        <f>IF(B203="", "", MIN(C203+D203, MAX(P203, $F$3 - SUMIFS(E$10:E202, O$10:O202, O203) - SUMIFS(P204:P$1995, O204:O$1995, O203))))</f>
        <v>580</v>
      </c>
      <c r="F203" s="10">
        <f t="shared" ref="F203:F266" si="12">ROUND(MAX(0,C203+D203-E203),2)</f>
        <v>11975.01</v>
      </c>
      <c r="G203" s="19" t="str">
        <f t="shared" ref="G203:G266" si="13">IF(F203=0,"Paid off","Active")</f>
        <v>Active</v>
      </c>
      <c r="H203" s="20"/>
      <c r="J203" s="67"/>
      <c r="K203" s="67"/>
      <c r="L203" s="67"/>
      <c r="M203" s="67"/>
      <c r="N203" s="67"/>
      <c r="O203" s="67">
        <f t="shared" ref="O203:O266" si="14">IF(A203&lt;&gt;"", A203, O202)</f>
        <v>33</v>
      </c>
      <c r="P203" s="67">
        <f>IF(B203="", 0, IFERROR(MIN(C203+D203, VLOOKUP(B203, '💳 Debt Input'!$A:$G, 4, FALSE)), 0))</f>
        <v>480</v>
      </c>
      <c r="Q203" s="67"/>
    </row>
    <row r="204" spans="1:17" ht="18" customHeight="1" x14ac:dyDescent="0.35">
      <c r="A204" s="19"/>
      <c r="B204" s="8" t="str">
        <f>'💳 Debt Input'!$A$8</f>
        <v>Travel Card</v>
      </c>
      <c r="C204" s="10">
        <f t="shared" si="11"/>
        <v>3507.09</v>
      </c>
      <c r="D204" s="10">
        <f>ROUND(C204*'💳 Debt Input'!$C$8/12,2)</f>
        <v>52.61</v>
      </c>
      <c r="E204" s="10">
        <f>IF(B204="", "", MIN(C204+D204, MAX(P204, $F$3 - SUMIFS(E$10:E203, O$10:O203, O204) - SUMIFS(P205:P$1995, O205:O$1995, O204))))</f>
        <v>270</v>
      </c>
      <c r="F204" s="10">
        <f t="shared" si="12"/>
        <v>3289.7</v>
      </c>
      <c r="G204" s="19" t="str">
        <f t="shared" si="13"/>
        <v>Active</v>
      </c>
      <c r="H204" s="20"/>
      <c r="J204" s="67"/>
      <c r="K204" s="67"/>
      <c r="L204" s="67"/>
      <c r="M204" s="67"/>
      <c r="N204" s="67"/>
      <c r="O204" s="67">
        <f t="shared" si="14"/>
        <v>33</v>
      </c>
      <c r="P204" s="67">
        <f>IF(B204="", 0, IFERROR(MIN(C204+D204, VLOOKUP(B204, '💳 Debt Input'!$A:$G, 4, FALSE)), 0))</f>
        <v>270</v>
      </c>
      <c r="Q204" s="67"/>
    </row>
    <row r="205" spans="1:17" ht="18" customHeight="1" x14ac:dyDescent="0.35">
      <c r="A205" s="19"/>
      <c r="B205" s="8" t="str">
        <f>'💳 Debt Input'!$A$7</f>
        <v>Auto Loan</v>
      </c>
      <c r="C205" s="10">
        <f t="shared" si="11"/>
        <v>836.68</v>
      </c>
      <c r="D205" s="10">
        <f>ROUND(C205*'💳 Debt Input'!$C$7/12,2)</f>
        <v>6.97</v>
      </c>
      <c r="E205" s="10">
        <f>IF(B205="", "", MIN(C205+D205, MAX(P205, $F$3 - SUMIFS(E$10:E204, O$10:O204, O205) - SUMIFS(P206:P$1995, O206:O$1995, O205))))</f>
        <v>120</v>
      </c>
      <c r="F205" s="10">
        <f t="shared" si="12"/>
        <v>723.65</v>
      </c>
      <c r="G205" s="19" t="str">
        <f t="shared" si="13"/>
        <v>Active</v>
      </c>
      <c r="H205" s="20"/>
      <c r="J205" s="67"/>
      <c r="K205" s="67"/>
      <c r="L205" s="67"/>
      <c r="M205" s="67"/>
      <c r="N205" s="67"/>
      <c r="O205" s="67">
        <f t="shared" si="14"/>
        <v>33</v>
      </c>
      <c r="P205" s="67">
        <f>IF(B205="", 0, IFERROR(MIN(C205+D205, VLOOKUP(B205, '💳 Debt Input'!$A:$G, 4, FALSE)), 0))</f>
        <v>120</v>
      </c>
      <c r="Q205" s="67"/>
    </row>
    <row r="206" spans="1:17" ht="18" customHeight="1" x14ac:dyDescent="0.35">
      <c r="A206" s="19"/>
      <c r="B206" s="8" t="str">
        <f>'💳 Debt Input'!$A$6</f>
        <v>Personal Loan</v>
      </c>
      <c r="C206" s="10">
        <f t="shared" si="11"/>
        <v>375.24</v>
      </c>
      <c r="D206" s="10">
        <f>ROUND(C206*'💳 Debt Input'!$C$6/12,2)</f>
        <v>1.88</v>
      </c>
      <c r="E206" s="10">
        <f>IF(B206="", "", MIN(C206+D206, MAX(P206, $F$3 - SUMIFS(E$10:E205, O$10:O205, O206) - SUMIFS(P207:P$1995, O207:O$1995, O206))))</f>
        <v>40</v>
      </c>
      <c r="F206" s="10">
        <f t="shared" si="12"/>
        <v>337.12</v>
      </c>
      <c r="G206" s="19" t="str">
        <f t="shared" si="13"/>
        <v>Active</v>
      </c>
      <c r="H206" s="20"/>
      <c r="J206" s="67"/>
      <c r="K206" s="67"/>
      <c r="L206" s="67"/>
      <c r="M206" s="67"/>
      <c r="N206" s="67"/>
      <c r="O206" s="67">
        <f t="shared" si="14"/>
        <v>33</v>
      </c>
      <c r="P206" s="67">
        <f>IF(B206="", 0, IFERROR(MIN(C206+D206, VLOOKUP(B206, '💳 Debt Input'!$A:$G, 4, FALSE)), 0))</f>
        <v>40</v>
      </c>
      <c r="Q206" s="67"/>
    </row>
    <row r="207" spans="1:17" ht="18" customHeight="1" x14ac:dyDescent="0.35">
      <c r="A207" s="28"/>
      <c r="B207" s="26" t="str">
        <f>'💳 Debt Input'!$A$5</f>
        <v>Medical Bill</v>
      </c>
      <c r="C207" s="27">
        <f t="shared" si="11"/>
        <v>0</v>
      </c>
      <c r="D207" s="27">
        <f>ROUND(C207*'💳 Debt Input'!$C$5/12,2)</f>
        <v>0</v>
      </c>
      <c r="E207" s="27">
        <f>IF(B207="", "", MIN(C207+D207, MAX(P207, $F$3 - SUMIFS(E$10:E206, O$10:O206, O207) - SUMIFS(P208:P$1995, O208:O$1995, O207))))</f>
        <v>0</v>
      </c>
      <c r="F207" s="27">
        <f t="shared" si="12"/>
        <v>0</v>
      </c>
      <c r="G207" s="28" t="str">
        <f t="shared" si="13"/>
        <v>Paid off</v>
      </c>
      <c r="H207" s="29"/>
      <c r="J207" s="67"/>
      <c r="K207" s="67"/>
      <c r="L207" s="67"/>
      <c r="M207" s="67"/>
      <c r="N207" s="67"/>
      <c r="O207" s="67">
        <f t="shared" si="14"/>
        <v>33</v>
      </c>
      <c r="P207" s="67">
        <f>IF(B207="", 0, IFERROR(MIN(C207+D207, VLOOKUP(B207, '💳 Debt Input'!$A:$G, 4, FALSE)), 0))</f>
        <v>0</v>
      </c>
      <c r="Q207" s="67"/>
    </row>
    <row r="208" spans="1:17" ht="18" customHeight="1" x14ac:dyDescent="0.35">
      <c r="A208" s="28"/>
      <c r="B208" s="26" t="str">
        <f>'💳 Debt Input'!$A$4</f>
        <v>Store Card</v>
      </c>
      <c r="C208" s="27">
        <f t="shared" si="11"/>
        <v>0</v>
      </c>
      <c r="D208" s="27">
        <f>ROUND(C208*'💳 Debt Input'!$C$4/12,2)</f>
        <v>0</v>
      </c>
      <c r="E208" s="27">
        <f>IF(B208="", "", MIN(C208+D208, MAX(P208, $F$3 - SUMIFS(E$10:E207, O$10:O207, O208) - SUMIFS(P209:P$1995, O209:O$1995, O208))))</f>
        <v>0</v>
      </c>
      <c r="F208" s="27">
        <f t="shared" si="12"/>
        <v>0</v>
      </c>
      <c r="G208" s="28" t="str">
        <f t="shared" si="13"/>
        <v>Paid off</v>
      </c>
      <c r="H208" s="29"/>
      <c r="J208" s="67"/>
      <c r="K208" s="67"/>
      <c r="L208" s="67"/>
      <c r="M208" s="67"/>
      <c r="N208" s="67"/>
      <c r="O208" s="67">
        <f t="shared" si="14"/>
        <v>33</v>
      </c>
      <c r="P208" s="67">
        <f>IF(B208="", 0, IFERROR(MIN(C208+D208, VLOOKUP(B208, '💳 Debt Input'!$A:$G, 4, FALSE)), 0))</f>
        <v>0</v>
      </c>
      <c r="Q208" s="67"/>
    </row>
    <row r="209" spans="1:17" ht="18" customHeight="1" x14ac:dyDescent="0.35">
      <c r="A209" s="21">
        <v>34</v>
      </c>
      <c r="B209" s="6" t="str">
        <f>'💳 Debt Input'!$A$9</f>
        <v>Rewards Visa</v>
      </c>
      <c r="C209" s="12">
        <f t="shared" ref="C209:C272" si="15">F203</f>
        <v>11975.01</v>
      </c>
      <c r="D209" s="12">
        <f>ROUND(C209*'💳 Debt Input'!$C$9/12,2)</f>
        <v>359.25</v>
      </c>
      <c r="E209" s="12">
        <f>IF(B209="", "", MIN(C209+D209, MAX(P209, $F$3 - SUMIFS(E$10:E208, O$10:O208, O209) - SUMIFS(P210:P$1995, O210:O$1995, O209))))</f>
        <v>580</v>
      </c>
      <c r="F209" s="12">
        <f t="shared" si="12"/>
        <v>11754.26</v>
      </c>
      <c r="G209" s="22" t="str">
        <f t="shared" si="13"/>
        <v>Active</v>
      </c>
      <c r="H209" s="23"/>
      <c r="J209" s="67"/>
      <c r="K209" s="67"/>
      <c r="L209" s="67"/>
      <c r="M209" s="67"/>
      <c r="N209" s="67"/>
      <c r="O209" s="67">
        <f t="shared" si="14"/>
        <v>34</v>
      </c>
      <c r="P209" s="67">
        <f>IF(B209="", 0, IFERROR(MIN(C209+D209, VLOOKUP(B209, '💳 Debt Input'!$A:$G, 4, FALSE)), 0))</f>
        <v>480</v>
      </c>
      <c r="Q209" s="67"/>
    </row>
    <row r="210" spans="1:17" ht="18" customHeight="1" x14ac:dyDescent="0.35">
      <c r="A210" s="22"/>
      <c r="B210" s="6" t="str">
        <f>'💳 Debt Input'!$A$8</f>
        <v>Travel Card</v>
      </c>
      <c r="C210" s="12">
        <f t="shared" si="15"/>
        <v>3289.7</v>
      </c>
      <c r="D210" s="12">
        <f>ROUND(C210*'💳 Debt Input'!$C$8/12,2)</f>
        <v>49.35</v>
      </c>
      <c r="E210" s="12">
        <f>IF(B210="", "", MIN(C210+D210, MAX(P210, $F$3 - SUMIFS(E$10:E209, O$10:O209, O210) - SUMIFS(P211:P$1995, O211:O$1995, O210))))</f>
        <v>270</v>
      </c>
      <c r="F210" s="12">
        <f t="shared" si="12"/>
        <v>3069.05</v>
      </c>
      <c r="G210" s="22" t="str">
        <f t="shared" si="13"/>
        <v>Active</v>
      </c>
      <c r="H210" s="23"/>
      <c r="J210" s="67"/>
      <c r="K210" s="67"/>
      <c r="L210" s="67"/>
      <c r="M210" s="67"/>
      <c r="N210" s="67"/>
      <c r="O210" s="67">
        <f t="shared" si="14"/>
        <v>34</v>
      </c>
      <c r="P210" s="67">
        <f>IF(B210="", 0, IFERROR(MIN(C210+D210, VLOOKUP(B210, '💳 Debt Input'!$A:$G, 4, FALSE)), 0))</f>
        <v>270</v>
      </c>
      <c r="Q210" s="67"/>
    </row>
    <row r="211" spans="1:17" ht="18" customHeight="1" x14ac:dyDescent="0.35">
      <c r="A211" s="22"/>
      <c r="B211" s="6" t="str">
        <f>'💳 Debt Input'!$A$7</f>
        <v>Auto Loan</v>
      </c>
      <c r="C211" s="12">
        <f t="shared" si="15"/>
        <v>723.65</v>
      </c>
      <c r="D211" s="12">
        <f>ROUND(C211*'💳 Debt Input'!$C$7/12,2)</f>
        <v>6.03</v>
      </c>
      <c r="E211" s="12">
        <f>IF(B211="", "", MIN(C211+D211, MAX(P211, $F$3 - SUMIFS(E$10:E210, O$10:O210, O211) - SUMIFS(P212:P$1995, O212:O$1995, O211))))</f>
        <v>120</v>
      </c>
      <c r="F211" s="12">
        <f t="shared" si="12"/>
        <v>609.67999999999995</v>
      </c>
      <c r="G211" s="22" t="str">
        <f t="shared" si="13"/>
        <v>Active</v>
      </c>
      <c r="H211" s="23"/>
      <c r="J211" s="67"/>
      <c r="K211" s="67"/>
      <c r="L211" s="67"/>
      <c r="M211" s="67"/>
      <c r="N211" s="67"/>
      <c r="O211" s="67">
        <f t="shared" si="14"/>
        <v>34</v>
      </c>
      <c r="P211" s="67">
        <f>IF(B211="", 0, IFERROR(MIN(C211+D211, VLOOKUP(B211, '💳 Debt Input'!$A:$G, 4, FALSE)), 0))</f>
        <v>120</v>
      </c>
      <c r="Q211" s="67"/>
    </row>
    <row r="212" spans="1:17" ht="18" customHeight="1" x14ac:dyDescent="0.35">
      <c r="A212" s="22"/>
      <c r="B212" s="6" t="str">
        <f>'💳 Debt Input'!$A$6</f>
        <v>Personal Loan</v>
      </c>
      <c r="C212" s="12">
        <f t="shared" si="15"/>
        <v>337.12</v>
      </c>
      <c r="D212" s="12">
        <f>ROUND(C212*'💳 Debt Input'!$C$6/12,2)</f>
        <v>1.69</v>
      </c>
      <c r="E212" s="12">
        <f>IF(B212="", "", MIN(C212+D212, MAX(P212, $F$3 - SUMIFS(E$10:E211, O$10:O211, O212) - SUMIFS(P213:P$1995, O213:O$1995, O212))))</f>
        <v>40</v>
      </c>
      <c r="F212" s="12">
        <f t="shared" si="12"/>
        <v>298.81</v>
      </c>
      <c r="G212" s="22" t="str">
        <f t="shared" si="13"/>
        <v>Active</v>
      </c>
      <c r="H212" s="23"/>
      <c r="J212" s="67"/>
      <c r="K212" s="67"/>
      <c r="L212" s="67"/>
      <c r="M212" s="67"/>
      <c r="N212" s="67"/>
      <c r="O212" s="67">
        <f t="shared" si="14"/>
        <v>34</v>
      </c>
      <c r="P212" s="67">
        <f>IF(B212="", 0, IFERROR(MIN(C212+D212, VLOOKUP(B212, '💳 Debt Input'!$A:$G, 4, FALSE)), 0))</f>
        <v>40</v>
      </c>
      <c r="Q212" s="67"/>
    </row>
    <row r="213" spans="1:17" ht="18" customHeight="1" x14ac:dyDescent="0.35">
      <c r="A213" s="28"/>
      <c r="B213" s="26" t="str">
        <f>'💳 Debt Input'!$A$5</f>
        <v>Medical Bill</v>
      </c>
      <c r="C213" s="27">
        <f t="shared" si="15"/>
        <v>0</v>
      </c>
      <c r="D213" s="27">
        <f>ROUND(C213*'💳 Debt Input'!$C$5/12,2)</f>
        <v>0</v>
      </c>
      <c r="E213" s="27">
        <f>IF(B213="", "", MIN(C213+D213, MAX(P213, $F$3 - SUMIFS(E$10:E212, O$10:O212, O213) - SUMIFS(P214:P$1995, O214:O$1995, O213))))</f>
        <v>0</v>
      </c>
      <c r="F213" s="27">
        <f t="shared" si="12"/>
        <v>0</v>
      </c>
      <c r="G213" s="28" t="str">
        <f t="shared" si="13"/>
        <v>Paid off</v>
      </c>
      <c r="H213" s="29"/>
      <c r="J213" s="67"/>
      <c r="K213" s="67"/>
      <c r="L213" s="67"/>
      <c r="M213" s="67"/>
      <c r="N213" s="67"/>
      <c r="O213" s="67">
        <f t="shared" si="14"/>
        <v>34</v>
      </c>
      <c r="P213" s="67">
        <f>IF(B213="", 0, IFERROR(MIN(C213+D213, VLOOKUP(B213, '💳 Debt Input'!$A:$G, 4, FALSE)), 0))</f>
        <v>0</v>
      </c>
      <c r="Q213" s="67"/>
    </row>
    <row r="214" spans="1:17" ht="18" customHeight="1" x14ac:dyDescent="0.35">
      <c r="A214" s="28"/>
      <c r="B214" s="26" t="str">
        <f>'💳 Debt Input'!$A$4</f>
        <v>Store Card</v>
      </c>
      <c r="C214" s="27">
        <f t="shared" si="15"/>
        <v>0</v>
      </c>
      <c r="D214" s="27">
        <f>ROUND(C214*'💳 Debt Input'!$C$4/12,2)</f>
        <v>0</v>
      </c>
      <c r="E214" s="27">
        <f>IF(B214="", "", MIN(C214+D214, MAX(P214, $F$3 - SUMIFS(E$10:E213, O$10:O213, O214) - SUMIFS(P215:P$1995, O215:O$1995, O214))))</f>
        <v>0</v>
      </c>
      <c r="F214" s="27">
        <f t="shared" si="12"/>
        <v>0</v>
      </c>
      <c r="G214" s="28" t="str">
        <f t="shared" si="13"/>
        <v>Paid off</v>
      </c>
      <c r="H214" s="29"/>
      <c r="J214" s="67"/>
      <c r="K214" s="67"/>
      <c r="L214" s="67"/>
      <c r="M214" s="67"/>
      <c r="N214" s="67"/>
      <c r="O214" s="67">
        <f t="shared" si="14"/>
        <v>34</v>
      </c>
      <c r="P214" s="67">
        <f>IF(B214="", 0, IFERROR(MIN(C214+D214, VLOOKUP(B214, '💳 Debt Input'!$A:$G, 4, FALSE)), 0))</f>
        <v>0</v>
      </c>
      <c r="Q214" s="67"/>
    </row>
    <row r="215" spans="1:17" ht="18" customHeight="1" x14ac:dyDescent="0.35">
      <c r="A215" s="24">
        <v>35</v>
      </c>
      <c r="B215" s="8" t="str">
        <f>'💳 Debt Input'!$A$9</f>
        <v>Rewards Visa</v>
      </c>
      <c r="C215" s="10">
        <f t="shared" si="15"/>
        <v>11754.26</v>
      </c>
      <c r="D215" s="10">
        <f>ROUND(C215*'💳 Debt Input'!$C$9/12,2)</f>
        <v>352.63</v>
      </c>
      <c r="E215" s="10">
        <f>IF(B215="", "", MIN(C215+D215, MAX(P215, $F$3 - SUMIFS(E$10:E214, O$10:O214, O215) - SUMIFS(P216:P$1995, O216:O$1995, O215))))</f>
        <v>580</v>
      </c>
      <c r="F215" s="10">
        <f t="shared" si="12"/>
        <v>11526.89</v>
      </c>
      <c r="G215" s="19" t="str">
        <f t="shared" si="13"/>
        <v>Active</v>
      </c>
      <c r="H215" s="20"/>
      <c r="J215" s="67"/>
      <c r="K215" s="67"/>
      <c r="L215" s="67"/>
      <c r="M215" s="67"/>
      <c r="N215" s="67"/>
      <c r="O215" s="67">
        <f t="shared" si="14"/>
        <v>35</v>
      </c>
      <c r="P215" s="67">
        <f>IF(B215="", 0, IFERROR(MIN(C215+D215, VLOOKUP(B215, '💳 Debt Input'!$A:$G, 4, FALSE)), 0))</f>
        <v>480</v>
      </c>
      <c r="Q215" s="67"/>
    </row>
    <row r="216" spans="1:17" ht="18" customHeight="1" x14ac:dyDescent="0.35">
      <c r="A216" s="19"/>
      <c r="B216" s="8" t="str">
        <f>'💳 Debt Input'!$A$8</f>
        <v>Travel Card</v>
      </c>
      <c r="C216" s="10">
        <f t="shared" si="15"/>
        <v>3069.05</v>
      </c>
      <c r="D216" s="10">
        <f>ROUND(C216*'💳 Debt Input'!$C$8/12,2)</f>
        <v>46.04</v>
      </c>
      <c r="E216" s="10">
        <f>IF(B216="", "", MIN(C216+D216, MAX(P216, $F$3 - SUMIFS(E$10:E215, O$10:O215, O216) - SUMIFS(P217:P$1995, O217:O$1995, O216))))</f>
        <v>270</v>
      </c>
      <c r="F216" s="10">
        <f t="shared" si="12"/>
        <v>2845.09</v>
      </c>
      <c r="G216" s="19" t="str">
        <f t="shared" si="13"/>
        <v>Active</v>
      </c>
      <c r="H216" s="20"/>
      <c r="J216" s="67"/>
      <c r="K216" s="67"/>
      <c r="L216" s="67"/>
      <c r="M216" s="67"/>
      <c r="N216" s="67"/>
      <c r="O216" s="67">
        <f t="shared" si="14"/>
        <v>35</v>
      </c>
      <c r="P216" s="67">
        <f>IF(B216="", 0, IFERROR(MIN(C216+D216, VLOOKUP(B216, '💳 Debt Input'!$A:$G, 4, FALSE)), 0))</f>
        <v>270</v>
      </c>
      <c r="Q216" s="67"/>
    </row>
    <row r="217" spans="1:17" ht="18" customHeight="1" x14ac:dyDescent="0.35">
      <c r="A217" s="19"/>
      <c r="B217" s="8" t="str">
        <f>'💳 Debt Input'!$A$7</f>
        <v>Auto Loan</v>
      </c>
      <c r="C217" s="10">
        <f t="shared" si="15"/>
        <v>609.67999999999995</v>
      </c>
      <c r="D217" s="10">
        <f>ROUND(C217*'💳 Debt Input'!$C$7/12,2)</f>
        <v>5.08</v>
      </c>
      <c r="E217" s="10">
        <f>IF(B217="", "", MIN(C217+D217, MAX(P217, $F$3 - SUMIFS(E$10:E216, O$10:O216, O217) - SUMIFS(P218:P$1995, O218:O$1995, O217))))</f>
        <v>120</v>
      </c>
      <c r="F217" s="10">
        <f t="shared" si="12"/>
        <v>494.76</v>
      </c>
      <c r="G217" s="19" t="str">
        <f t="shared" si="13"/>
        <v>Active</v>
      </c>
      <c r="H217" s="20"/>
      <c r="J217" s="67"/>
      <c r="K217" s="67"/>
      <c r="L217" s="67"/>
      <c r="M217" s="67"/>
      <c r="N217" s="67"/>
      <c r="O217" s="67">
        <f t="shared" si="14"/>
        <v>35</v>
      </c>
      <c r="P217" s="67">
        <f>IF(B217="", 0, IFERROR(MIN(C217+D217, VLOOKUP(B217, '💳 Debt Input'!$A:$G, 4, FALSE)), 0))</f>
        <v>120</v>
      </c>
      <c r="Q217" s="67"/>
    </row>
    <row r="218" spans="1:17" ht="18" customHeight="1" x14ac:dyDescent="0.35">
      <c r="A218" s="19"/>
      <c r="B218" s="8" t="str">
        <f>'💳 Debt Input'!$A$6</f>
        <v>Personal Loan</v>
      </c>
      <c r="C218" s="10">
        <f t="shared" si="15"/>
        <v>298.81</v>
      </c>
      <c r="D218" s="10">
        <f>ROUND(C218*'💳 Debt Input'!$C$6/12,2)</f>
        <v>1.49</v>
      </c>
      <c r="E218" s="10">
        <f>IF(B218="", "", MIN(C218+D218, MAX(P218, $F$3 - SUMIFS(E$10:E217, O$10:O217, O218) - SUMIFS(P219:P$1995, O219:O$1995, O218))))</f>
        <v>40</v>
      </c>
      <c r="F218" s="10">
        <f t="shared" si="12"/>
        <v>260.3</v>
      </c>
      <c r="G218" s="19" t="str">
        <f t="shared" si="13"/>
        <v>Active</v>
      </c>
      <c r="H218" s="20"/>
      <c r="J218" s="67"/>
      <c r="K218" s="67"/>
      <c r="L218" s="67"/>
      <c r="M218" s="67"/>
      <c r="N218" s="67"/>
      <c r="O218" s="67">
        <f t="shared" si="14"/>
        <v>35</v>
      </c>
      <c r="P218" s="67">
        <f>IF(B218="", 0, IFERROR(MIN(C218+D218, VLOOKUP(B218, '💳 Debt Input'!$A:$G, 4, FALSE)), 0))</f>
        <v>40</v>
      </c>
      <c r="Q218" s="67"/>
    </row>
    <row r="219" spans="1:17" ht="18" customHeight="1" x14ac:dyDescent="0.35">
      <c r="A219" s="28"/>
      <c r="B219" s="26" t="str">
        <f>'💳 Debt Input'!$A$5</f>
        <v>Medical Bill</v>
      </c>
      <c r="C219" s="27">
        <f t="shared" si="15"/>
        <v>0</v>
      </c>
      <c r="D219" s="27">
        <f>ROUND(C219*'💳 Debt Input'!$C$5/12,2)</f>
        <v>0</v>
      </c>
      <c r="E219" s="27">
        <f>IF(B219="", "", MIN(C219+D219, MAX(P219, $F$3 - SUMIFS(E$10:E218, O$10:O218, O219) - SUMIFS(P220:P$1995, O220:O$1995, O219))))</f>
        <v>0</v>
      </c>
      <c r="F219" s="27">
        <f t="shared" si="12"/>
        <v>0</v>
      </c>
      <c r="G219" s="28" t="str">
        <f t="shared" si="13"/>
        <v>Paid off</v>
      </c>
      <c r="H219" s="29"/>
      <c r="J219" s="67"/>
      <c r="K219" s="67"/>
      <c r="L219" s="67"/>
      <c r="M219" s="67"/>
      <c r="N219" s="67"/>
      <c r="O219" s="67">
        <f t="shared" si="14"/>
        <v>35</v>
      </c>
      <c r="P219" s="67">
        <f>IF(B219="", 0, IFERROR(MIN(C219+D219, VLOOKUP(B219, '💳 Debt Input'!$A:$G, 4, FALSE)), 0))</f>
        <v>0</v>
      </c>
      <c r="Q219" s="67"/>
    </row>
    <row r="220" spans="1:17" ht="18" customHeight="1" x14ac:dyDescent="0.35">
      <c r="A220" s="28"/>
      <c r="B220" s="26" t="str">
        <f>'💳 Debt Input'!$A$4</f>
        <v>Store Card</v>
      </c>
      <c r="C220" s="27">
        <f t="shared" si="15"/>
        <v>0</v>
      </c>
      <c r="D220" s="27">
        <f>ROUND(C220*'💳 Debt Input'!$C$4/12,2)</f>
        <v>0</v>
      </c>
      <c r="E220" s="27">
        <f>IF(B220="", "", MIN(C220+D220, MAX(P220, $F$3 - SUMIFS(E$10:E219, O$10:O219, O220) - SUMIFS(P221:P$1995, O221:O$1995, O220))))</f>
        <v>0</v>
      </c>
      <c r="F220" s="27">
        <f t="shared" si="12"/>
        <v>0</v>
      </c>
      <c r="G220" s="28" t="str">
        <f t="shared" si="13"/>
        <v>Paid off</v>
      </c>
      <c r="H220" s="29"/>
      <c r="J220" s="67"/>
      <c r="K220" s="67"/>
      <c r="L220" s="67"/>
      <c r="M220" s="67"/>
      <c r="N220" s="67"/>
      <c r="O220" s="67">
        <f t="shared" si="14"/>
        <v>35</v>
      </c>
      <c r="P220" s="67">
        <f>IF(B220="", 0, IFERROR(MIN(C220+D220, VLOOKUP(B220, '💳 Debt Input'!$A:$G, 4, FALSE)), 0))</f>
        <v>0</v>
      </c>
      <c r="Q220" s="67"/>
    </row>
    <row r="221" spans="1:17" ht="18" customHeight="1" x14ac:dyDescent="0.35">
      <c r="A221" s="21">
        <v>36</v>
      </c>
      <c r="B221" s="6" t="str">
        <f>'💳 Debt Input'!$A$9</f>
        <v>Rewards Visa</v>
      </c>
      <c r="C221" s="12">
        <f t="shared" si="15"/>
        <v>11526.89</v>
      </c>
      <c r="D221" s="12">
        <f>ROUND(C221*'💳 Debt Input'!$C$9/12,2)</f>
        <v>345.81</v>
      </c>
      <c r="E221" s="12">
        <f>IF(B221="", "", MIN(C221+D221, MAX(P221, $F$3 - SUMIFS(E$10:E220, O$10:O220, O221) - SUMIFS(P222:P$1995, O222:O$1995, O221))))</f>
        <v>580</v>
      </c>
      <c r="F221" s="12">
        <f t="shared" si="12"/>
        <v>11292.7</v>
      </c>
      <c r="G221" s="22" t="str">
        <f t="shared" si="13"/>
        <v>Active</v>
      </c>
      <c r="H221" s="23"/>
      <c r="J221" s="67"/>
      <c r="K221" s="67"/>
      <c r="L221" s="67"/>
      <c r="M221" s="67"/>
      <c r="N221" s="67"/>
      <c r="O221" s="67">
        <f t="shared" si="14"/>
        <v>36</v>
      </c>
      <c r="P221" s="67">
        <f>IF(B221="", 0, IFERROR(MIN(C221+D221, VLOOKUP(B221, '💳 Debt Input'!$A:$G, 4, FALSE)), 0))</f>
        <v>480</v>
      </c>
      <c r="Q221" s="67"/>
    </row>
    <row r="222" spans="1:17" ht="18" customHeight="1" x14ac:dyDescent="0.35">
      <c r="A222" s="22"/>
      <c r="B222" s="6" t="str">
        <f>'💳 Debt Input'!$A$8</f>
        <v>Travel Card</v>
      </c>
      <c r="C222" s="12">
        <f t="shared" si="15"/>
        <v>2845.09</v>
      </c>
      <c r="D222" s="12">
        <f>ROUND(C222*'💳 Debt Input'!$C$8/12,2)</f>
        <v>42.68</v>
      </c>
      <c r="E222" s="12">
        <f>IF(B222="", "", MIN(C222+D222, MAX(P222, $F$3 - SUMIFS(E$10:E221, O$10:O221, O222) - SUMIFS(P223:P$1995, O223:O$1995, O222))))</f>
        <v>270</v>
      </c>
      <c r="F222" s="12">
        <f t="shared" si="12"/>
        <v>2617.77</v>
      </c>
      <c r="G222" s="22" t="str">
        <f t="shared" si="13"/>
        <v>Active</v>
      </c>
      <c r="H222" s="23"/>
      <c r="J222" s="67"/>
      <c r="K222" s="67"/>
      <c r="L222" s="67"/>
      <c r="M222" s="67"/>
      <c r="N222" s="67"/>
      <c r="O222" s="67">
        <f t="shared" si="14"/>
        <v>36</v>
      </c>
      <c r="P222" s="67">
        <f>IF(B222="", 0, IFERROR(MIN(C222+D222, VLOOKUP(B222, '💳 Debt Input'!$A:$G, 4, FALSE)), 0))</f>
        <v>270</v>
      </c>
      <c r="Q222" s="67"/>
    </row>
    <row r="223" spans="1:17" ht="18" customHeight="1" x14ac:dyDescent="0.35">
      <c r="A223" s="22"/>
      <c r="B223" s="6" t="str">
        <f>'💳 Debt Input'!$A$7</f>
        <v>Auto Loan</v>
      </c>
      <c r="C223" s="12">
        <f t="shared" si="15"/>
        <v>494.76</v>
      </c>
      <c r="D223" s="12">
        <f>ROUND(C223*'💳 Debt Input'!$C$7/12,2)</f>
        <v>4.12</v>
      </c>
      <c r="E223" s="12">
        <f>IF(B223="", "", MIN(C223+D223, MAX(P223, $F$3 - SUMIFS(E$10:E222, O$10:O222, O223) - SUMIFS(P224:P$1995, O224:O$1995, O223))))</f>
        <v>120</v>
      </c>
      <c r="F223" s="12">
        <f t="shared" si="12"/>
        <v>378.88</v>
      </c>
      <c r="G223" s="22" t="str">
        <f t="shared" si="13"/>
        <v>Active</v>
      </c>
      <c r="H223" s="23"/>
      <c r="J223" s="67"/>
      <c r="K223" s="67"/>
      <c r="L223" s="67"/>
      <c r="M223" s="67"/>
      <c r="N223" s="67"/>
      <c r="O223" s="67">
        <f t="shared" si="14"/>
        <v>36</v>
      </c>
      <c r="P223" s="67">
        <f>IF(B223="", 0, IFERROR(MIN(C223+D223, VLOOKUP(B223, '💳 Debt Input'!$A:$G, 4, FALSE)), 0))</f>
        <v>120</v>
      </c>
      <c r="Q223" s="67"/>
    </row>
    <row r="224" spans="1:17" ht="18" customHeight="1" x14ac:dyDescent="0.35">
      <c r="A224" s="22"/>
      <c r="B224" s="6" t="str">
        <f>'💳 Debt Input'!$A$6</f>
        <v>Personal Loan</v>
      </c>
      <c r="C224" s="12">
        <f t="shared" si="15"/>
        <v>260.3</v>
      </c>
      <c r="D224" s="12">
        <f>ROUND(C224*'💳 Debt Input'!$C$6/12,2)</f>
        <v>1.3</v>
      </c>
      <c r="E224" s="12">
        <f>IF(B224="", "", MIN(C224+D224, MAX(P224, $F$3 - SUMIFS(E$10:E223, O$10:O223, O224) - SUMIFS(P225:P$1995, O225:O$1995, O224))))</f>
        <v>40</v>
      </c>
      <c r="F224" s="12">
        <f t="shared" si="12"/>
        <v>221.6</v>
      </c>
      <c r="G224" s="22" t="str">
        <f t="shared" si="13"/>
        <v>Active</v>
      </c>
      <c r="H224" s="23"/>
      <c r="J224" s="67"/>
      <c r="K224" s="67"/>
      <c r="L224" s="67"/>
      <c r="M224" s="67"/>
      <c r="N224" s="67"/>
      <c r="O224" s="67">
        <f t="shared" si="14"/>
        <v>36</v>
      </c>
      <c r="P224" s="67">
        <f>IF(B224="", 0, IFERROR(MIN(C224+D224, VLOOKUP(B224, '💳 Debt Input'!$A:$G, 4, FALSE)), 0))</f>
        <v>40</v>
      </c>
      <c r="Q224" s="67"/>
    </row>
    <row r="225" spans="1:17" ht="18" customHeight="1" x14ac:dyDescent="0.35">
      <c r="A225" s="28"/>
      <c r="B225" s="26" t="str">
        <f>'💳 Debt Input'!$A$5</f>
        <v>Medical Bill</v>
      </c>
      <c r="C225" s="27">
        <f t="shared" si="15"/>
        <v>0</v>
      </c>
      <c r="D225" s="27">
        <f>ROUND(C225*'💳 Debt Input'!$C$5/12,2)</f>
        <v>0</v>
      </c>
      <c r="E225" s="27">
        <f>IF(B225="", "", MIN(C225+D225, MAX(P225, $F$3 - SUMIFS(E$10:E224, O$10:O224, O225) - SUMIFS(P226:P$1995, O226:O$1995, O225))))</f>
        <v>0</v>
      </c>
      <c r="F225" s="27">
        <f t="shared" si="12"/>
        <v>0</v>
      </c>
      <c r="G225" s="28" t="str">
        <f t="shared" si="13"/>
        <v>Paid off</v>
      </c>
      <c r="H225" s="29"/>
      <c r="J225" s="67"/>
      <c r="K225" s="67"/>
      <c r="L225" s="67"/>
      <c r="M225" s="67"/>
      <c r="N225" s="67"/>
      <c r="O225" s="67">
        <f t="shared" si="14"/>
        <v>36</v>
      </c>
      <c r="P225" s="67">
        <f>IF(B225="", 0, IFERROR(MIN(C225+D225, VLOOKUP(B225, '💳 Debt Input'!$A:$G, 4, FALSE)), 0))</f>
        <v>0</v>
      </c>
      <c r="Q225" s="67"/>
    </row>
    <row r="226" spans="1:17" ht="18" customHeight="1" x14ac:dyDescent="0.35">
      <c r="A226" s="28"/>
      <c r="B226" s="26" t="str">
        <f>'💳 Debt Input'!$A$4</f>
        <v>Store Card</v>
      </c>
      <c r="C226" s="27">
        <f t="shared" si="15"/>
        <v>0</v>
      </c>
      <c r="D226" s="27">
        <f>ROUND(C226*'💳 Debt Input'!$C$4/12,2)</f>
        <v>0</v>
      </c>
      <c r="E226" s="27">
        <f>IF(B226="", "", MIN(C226+D226, MAX(P226, $F$3 - SUMIFS(E$10:E225, O$10:O225, O226) - SUMIFS(P227:P$1995, O227:O$1995, O226))))</f>
        <v>0</v>
      </c>
      <c r="F226" s="27">
        <f t="shared" si="12"/>
        <v>0</v>
      </c>
      <c r="G226" s="28" t="str">
        <f t="shared" si="13"/>
        <v>Paid off</v>
      </c>
      <c r="H226" s="29"/>
      <c r="J226" s="67"/>
      <c r="K226" s="67"/>
      <c r="L226" s="67"/>
      <c r="M226" s="67"/>
      <c r="N226" s="67"/>
      <c r="O226" s="67">
        <f t="shared" si="14"/>
        <v>36</v>
      </c>
      <c r="P226" s="67">
        <f>IF(B226="", 0, IFERROR(MIN(C226+D226, VLOOKUP(B226, '💳 Debt Input'!$A:$G, 4, FALSE)), 0))</f>
        <v>0</v>
      </c>
      <c r="Q226" s="67"/>
    </row>
    <row r="227" spans="1:17" ht="18" customHeight="1" x14ac:dyDescent="0.35">
      <c r="A227" s="24">
        <v>37</v>
      </c>
      <c r="B227" s="8" t="str">
        <f>'💳 Debt Input'!$A$9</f>
        <v>Rewards Visa</v>
      </c>
      <c r="C227" s="10">
        <f t="shared" si="15"/>
        <v>11292.7</v>
      </c>
      <c r="D227" s="10">
        <f>ROUND(C227*'💳 Debt Input'!$C$9/12,2)</f>
        <v>338.78</v>
      </c>
      <c r="E227" s="10">
        <f>IF(B227="", "", MIN(C227+D227, MAX(P227, $F$3 - SUMIFS(E$10:E226, O$10:O226, O227) - SUMIFS(P228:P$1995, O228:O$1995, O227))))</f>
        <v>580</v>
      </c>
      <c r="F227" s="10">
        <f t="shared" si="12"/>
        <v>11051.48</v>
      </c>
      <c r="G227" s="19" t="str">
        <f t="shared" si="13"/>
        <v>Active</v>
      </c>
      <c r="H227" s="20"/>
      <c r="J227" s="67"/>
      <c r="K227" s="67"/>
      <c r="L227" s="67"/>
      <c r="M227" s="67"/>
      <c r="N227" s="67"/>
      <c r="O227" s="67">
        <f t="shared" si="14"/>
        <v>37</v>
      </c>
      <c r="P227" s="67">
        <f>IF(B227="", 0, IFERROR(MIN(C227+D227, VLOOKUP(B227, '💳 Debt Input'!$A:$G, 4, FALSE)), 0))</f>
        <v>480</v>
      </c>
      <c r="Q227" s="67"/>
    </row>
    <row r="228" spans="1:17" ht="18" customHeight="1" x14ac:dyDescent="0.35">
      <c r="A228" s="19"/>
      <c r="B228" s="8" t="str">
        <f>'💳 Debt Input'!$A$8</f>
        <v>Travel Card</v>
      </c>
      <c r="C228" s="10">
        <f t="shared" si="15"/>
        <v>2617.77</v>
      </c>
      <c r="D228" s="10">
        <f>ROUND(C228*'💳 Debt Input'!$C$8/12,2)</f>
        <v>39.270000000000003</v>
      </c>
      <c r="E228" s="10">
        <f>IF(B228="", "", MIN(C228+D228, MAX(P228, $F$3 - SUMIFS(E$10:E227, O$10:O227, O228) - SUMIFS(P229:P$1995, O229:O$1995, O228))))</f>
        <v>270</v>
      </c>
      <c r="F228" s="10">
        <f t="shared" si="12"/>
        <v>2387.04</v>
      </c>
      <c r="G228" s="19" t="str">
        <f t="shared" si="13"/>
        <v>Active</v>
      </c>
      <c r="H228" s="20"/>
      <c r="J228" s="67"/>
      <c r="K228" s="67"/>
      <c r="L228" s="67"/>
      <c r="M228" s="67"/>
      <c r="N228" s="67"/>
      <c r="O228" s="67">
        <f t="shared" si="14"/>
        <v>37</v>
      </c>
      <c r="P228" s="67">
        <f>IF(B228="", 0, IFERROR(MIN(C228+D228, VLOOKUP(B228, '💳 Debt Input'!$A:$G, 4, FALSE)), 0))</f>
        <v>270</v>
      </c>
      <c r="Q228" s="67"/>
    </row>
    <row r="229" spans="1:17" ht="18" customHeight="1" x14ac:dyDescent="0.35">
      <c r="A229" s="19"/>
      <c r="B229" s="8" t="str">
        <f>'💳 Debt Input'!$A$7</f>
        <v>Auto Loan</v>
      </c>
      <c r="C229" s="10">
        <f t="shared" si="15"/>
        <v>378.88</v>
      </c>
      <c r="D229" s="10">
        <f>ROUND(C229*'💳 Debt Input'!$C$7/12,2)</f>
        <v>3.16</v>
      </c>
      <c r="E229" s="10">
        <f>IF(B229="", "", MIN(C229+D229, MAX(P229, $F$3 - SUMIFS(E$10:E228, O$10:O228, O229) - SUMIFS(P230:P$1995, O230:O$1995, O229))))</f>
        <v>120</v>
      </c>
      <c r="F229" s="10">
        <f t="shared" si="12"/>
        <v>262.04000000000002</v>
      </c>
      <c r="G229" s="19" t="str">
        <f t="shared" si="13"/>
        <v>Active</v>
      </c>
      <c r="H229" s="20"/>
      <c r="J229" s="67"/>
      <c r="K229" s="67"/>
      <c r="L229" s="67"/>
      <c r="M229" s="67"/>
      <c r="N229" s="67"/>
      <c r="O229" s="67">
        <f t="shared" si="14"/>
        <v>37</v>
      </c>
      <c r="P229" s="67">
        <f>IF(B229="", 0, IFERROR(MIN(C229+D229, VLOOKUP(B229, '💳 Debt Input'!$A:$G, 4, FALSE)), 0))</f>
        <v>120</v>
      </c>
      <c r="Q229" s="67"/>
    </row>
    <row r="230" spans="1:17" ht="18" customHeight="1" x14ac:dyDescent="0.35">
      <c r="A230" s="19"/>
      <c r="B230" s="8" t="str">
        <f>'💳 Debt Input'!$A$6</f>
        <v>Personal Loan</v>
      </c>
      <c r="C230" s="10">
        <f t="shared" si="15"/>
        <v>221.6</v>
      </c>
      <c r="D230" s="10">
        <f>ROUND(C230*'💳 Debt Input'!$C$6/12,2)</f>
        <v>1.1100000000000001</v>
      </c>
      <c r="E230" s="10">
        <f>IF(B230="", "", MIN(C230+D230, MAX(P230, $F$3 - SUMIFS(E$10:E229, O$10:O229, O230) - SUMIFS(P231:P$1995, O231:O$1995, O230))))</f>
        <v>40</v>
      </c>
      <c r="F230" s="10">
        <f t="shared" si="12"/>
        <v>182.71</v>
      </c>
      <c r="G230" s="19" t="str">
        <f t="shared" si="13"/>
        <v>Active</v>
      </c>
      <c r="H230" s="20"/>
      <c r="J230" s="67"/>
      <c r="K230" s="67"/>
      <c r="L230" s="67"/>
      <c r="M230" s="67"/>
      <c r="N230" s="67"/>
      <c r="O230" s="67">
        <f t="shared" si="14"/>
        <v>37</v>
      </c>
      <c r="P230" s="67">
        <f>IF(B230="", 0, IFERROR(MIN(C230+D230, VLOOKUP(B230, '💳 Debt Input'!$A:$G, 4, FALSE)), 0))</f>
        <v>40</v>
      </c>
      <c r="Q230" s="67"/>
    </row>
    <row r="231" spans="1:17" ht="18" customHeight="1" x14ac:dyDescent="0.35">
      <c r="A231" s="28"/>
      <c r="B231" s="26" t="str">
        <f>'💳 Debt Input'!$A$5</f>
        <v>Medical Bill</v>
      </c>
      <c r="C231" s="27">
        <f t="shared" si="15"/>
        <v>0</v>
      </c>
      <c r="D231" s="27">
        <f>ROUND(C231*'💳 Debt Input'!$C$5/12,2)</f>
        <v>0</v>
      </c>
      <c r="E231" s="27">
        <f>IF(B231="", "", MIN(C231+D231, MAX(P231, $F$3 - SUMIFS(E$10:E230, O$10:O230, O231) - SUMIFS(P232:P$1995, O232:O$1995, O231))))</f>
        <v>0</v>
      </c>
      <c r="F231" s="27">
        <f t="shared" si="12"/>
        <v>0</v>
      </c>
      <c r="G231" s="28" t="str">
        <f t="shared" si="13"/>
        <v>Paid off</v>
      </c>
      <c r="H231" s="29"/>
      <c r="J231" s="67"/>
      <c r="K231" s="67"/>
      <c r="L231" s="67"/>
      <c r="M231" s="67"/>
      <c r="N231" s="67"/>
      <c r="O231" s="67">
        <f t="shared" si="14"/>
        <v>37</v>
      </c>
      <c r="P231" s="67">
        <f>IF(B231="", 0, IFERROR(MIN(C231+D231, VLOOKUP(B231, '💳 Debt Input'!$A:$G, 4, FALSE)), 0))</f>
        <v>0</v>
      </c>
      <c r="Q231" s="67"/>
    </row>
    <row r="232" spans="1:17" ht="18" customHeight="1" x14ac:dyDescent="0.35">
      <c r="A232" s="28"/>
      <c r="B232" s="26" t="str">
        <f>'💳 Debt Input'!$A$4</f>
        <v>Store Card</v>
      </c>
      <c r="C232" s="27">
        <f t="shared" si="15"/>
        <v>0</v>
      </c>
      <c r="D232" s="27">
        <f>ROUND(C232*'💳 Debt Input'!$C$4/12,2)</f>
        <v>0</v>
      </c>
      <c r="E232" s="27">
        <f>IF(B232="", "", MIN(C232+D232, MAX(P232, $F$3 - SUMIFS(E$10:E231, O$10:O231, O232) - SUMIFS(P233:P$1995, O233:O$1995, O232))))</f>
        <v>0</v>
      </c>
      <c r="F232" s="27">
        <f t="shared" si="12"/>
        <v>0</v>
      </c>
      <c r="G232" s="28" t="str">
        <f t="shared" si="13"/>
        <v>Paid off</v>
      </c>
      <c r="H232" s="29"/>
      <c r="J232" s="67"/>
      <c r="K232" s="67"/>
      <c r="L232" s="67"/>
      <c r="M232" s="67"/>
      <c r="N232" s="67"/>
      <c r="O232" s="67">
        <f t="shared" si="14"/>
        <v>37</v>
      </c>
      <c r="P232" s="67">
        <f>IF(B232="", 0, IFERROR(MIN(C232+D232, VLOOKUP(B232, '💳 Debt Input'!$A:$G, 4, FALSE)), 0))</f>
        <v>0</v>
      </c>
      <c r="Q232" s="67"/>
    </row>
    <row r="233" spans="1:17" ht="18" customHeight="1" x14ac:dyDescent="0.35">
      <c r="A233" s="21">
        <v>38</v>
      </c>
      <c r="B233" s="6" t="str">
        <f>'💳 Debt Input'!$A$9</f>
        <v>Rewards Visa</v>
      </c>
      <c r="C233" s="12">
        <f t="shared" si="15"/>
        <v>11051.48</v>
      </c>
      <c r="D233" s="12">
        <f>ROUND(C233*'💳 Debt Input'!$C$9/12,2)</f>
        <v>331.54</v>
      </c>
      <c r="E233" s="12">
        <f>IF(B233="", "", MIN(C233+D233, MAX(P233, $F$3 - SUMIFS(E$10:E232, O$10:O232, O233) - SUMIFS(P234:P$1995, O234:O$1995, O233))))</f>
        <v>580</v>
      </c>
      <c r="F233" s="12">
        <f t="shared" si="12"/>
        <v>10803.02</v>
      </c>
      <c r="G233" s="22" t="str">
        <f t="shared" si="13"/>
        <v>Active</v>
      </c>
      <c r="H233" s="23"/>
      <c r="J233" s="67"/>
      <c r="K233" s="67"/>
      <c r="L233" s="67"/>
      <c r="M233" s="67"/>
      <c r="N233" s="67"/>
      <c r="O233" s="67">
        <f t="shared" si="14"/>
        <v>38</v>
      </c>
      <c r="P233" s="67">
        <f>IF(B233="", 0, IFERROR(MIN(C233+D233, VLOOKUP(B233, '💳 Debt Input'!$A:$G, 4, FALSE)), 0))</f>
        <v>480</v>
      </c>
      <c r="Q233" s="67"/>
    </row>
    <row r="234" spans="1:17" ht="18" customHeight="1" x14ac:dyDescent="0.35">
      <c r="A234" s="22"/>
      <c r="B234" s="6" t="str">
        <f>'💳 Debt Input'!$A$8</f>
        <v>Travel Card</v>
      </c>
      <c r="C234" s="12">
        <f t="shared" si="15"/>
        <v>2387.04</v>
      </c>
      <c r="D234" s="12">
        <f>ROUND(C234*'💳 Debt Input'!$C$8/12,2)</f>
        <v>35.81</v>
      </c>
      <c r="E234" s="12">
        <f>IF(B234="", "", MIN(C234+D234, MAX(P234, $F$3 - SUMIFS(E$10:E233, O$10:O233, O234) - SUMIFS(P235:P$1995, O235:O$1995, O234))))</f>
        <v>270</v>
      </c>
      <c r="F234" s="12">
        <f t="shared" si="12"/>
        <v>2152.85</v>
      </c>
      <c r="G234" s="22" t="str">
        <f t="shared" si="13"/>
        <v>Active</v>
      </c>
      <c r="H234" s="23"/>
      <c r="J234" s="67"/>
      <c r="K234" s="67"/>
      <c r="L234" s="67"/>
      <c r="M234" s="67"/>
      <c r="N234" s="67"/>
      <c r="O234" s="67">
        <f t="shared" si="14"/>
        <v>38</v>
      </c>
      <c r="P234" s="67">
        <f>IF(B234="", 0, IFERROR(MIN(C234+D234, VLOOKUP(B234, '💳 Debt Input'!$A:$G, 4, FALSE)), 0))</f>
        <v>270</v>
      </c>
      <c r="Q234" s="67"/>
    </row>
    <row r="235" spans="1:17" ht="18" customHeight="1" x14ac:dyDescent="0.35">
      <c r="A235" s="22"/>
      <c r="B235" s="6" t="str">
        <f>'💳 Debt Input'!$A$7</f>
        <v>Auto Loan</v>
      </c>
      <c r="C235" s="12">
        <f t="shared" si="15"/>
        <v>262.04000000000002</v>
      </c>
      <c r="D235" s="12">
        <f>ROUND(C235*'💳 Debt Input'!$C$7/12,2)</f>
        <v>2.1800000000000002</v>
      </c>
      <c r="E235" s="12">
        <f>IF(B235="", "", MIN(C235+D235, MAX(P235, $F$3 - SUMIFS(E$10:E234, O$10:O234, O235) - SUMIFS(P236:P$1995, O236:O$1995, O235))))</f>
        <v>120</v>
      </c>
      <c r="F235" s="12">
        <f t="shared" si="12"/>
        <v>144.22</v>
      </c>
      <c r="G235" s="22" t="str">
        <f t="shared" si="13"/>
        <v>Active</v>
      </c>
      <c r="H235" s="23"/>
      <c r="J235" s="67"/>
      <c r="K235" s="67"/>
      <c r="L235" s="67"/>
      <c r="M235" s="67"/>
      <c r="N235" s="67"/>
      <c r="O235" s="67">
        <f t="shared" si="14"/>
        <v>38</v>
      </c>
      <c r="P235" s="67">
        <f>IF(B235="", 0, IFERROR(MIN(C235+D235, VLOOKUP(B235, '💳 Debt Input'!$A:$G, 4, FALSE)), 0))</f>
        <v>120</v>
      </c>
      <c r="Q235" s="67"/>
    </row>
    <row r="236" spans="1:17" ht="18" customHeight="1" x14ac:dyDescent="0.35">
      <c r="A236" s="22"/>
      <c r="B236" s="6" t="str">
        <f>'💳 Debt Input'!$A$6</f>
        <v>Personal Loan</v>
      </c>
      <c r="C236" s="12">
        <f t="shared" si="15"/>
        <v>182.71</v>
      </c>
      <c r="D236" s="12">
        <f>ROUND(C236*'💳 Debt Input'!$C$6/12,2)</f>
        <v>0.91</v>
      </c>
      <c r="E236" s="12">
        <f>IF(B236="", "", MIN(C236+D236, MAX(P236, $F$3 - SUMIFS(E$10:E235, O$10:O235, O236) - SUMIFS(P237:P$1995, O237:O$1995, O236))))</f>
        <v>40</v>
      </c>
      <c r="F236" s="12">
        <f t="shared" si="12"/>
        <v>143.62</v>
      </c>
      <c r="G236" s="22" t="str">
        <f t="shared" si="13"/>
        <v>Active</v>
      </c>
      <c r="H236" s="23"/>
      <c r="J236" s="67"/>
      <c r="K236" s="67"/>
      <c r="L236" s="67"/>
      <c r="M236" s="67"/>
      <c r="N236" s="67"/>
      <c r="O236" s="67">
        <f t="shared" si="14"/>
        <v>38</v>
      </c>
      <c r="P236" s="67">
        <f>IF(B236="", 0, IFERROR(MIN(C236+D236, VLOOKUP(B236, '💳 Debt Input'!$A:$G, 4, FALSE)), 0))</f>
        <v>40</v>
      </c>
      <c r="Q236" s="67"/>
    </row>
    <row r="237" spans="1:17" ht="18" customHeight="1" x14ac:dyDescent="0.35">
      <c r="A237" s="28"/>
      <c r="B237" s="26" t="str">
        <f>'💳 Debt Input'!$A$5</f>
        <v>Medical Bill</v>
      </c>
      <c r="C237" s="27">
        <f t="shared" si="15"/>
        <v>0</v>
      </c>
      <c r="D237" s="27">
        <f>ROUND(C237*'💳 Debt Input'!$C$5/12,2)</f>
        <v>0</v>
      </c>
      <c r="E237" s="27">
        <f>IF(B237="", "", MIN(C237+D237, MAX(P237, $F$3 - SUMIFS(E$10:E236, O$10:O236, O237) - SUMIFS(P238:P$1995, O238:O$1995, O237))))</f>
        <v>0</v>
      </c>
      <c r="F237" s="27">
        <f t="shared" si="12"/>
        <v>0</v>
      </c>
      <c r="G237" s="28" t="str">
        <f t="shared" si="13"/>
        <v>Paid off</v>
      </c>
      <c r="H237" s="29"/>
      <c r="J237" s="67"/>
      <c r="K237" s="67"/>
      <c r="L237" s="67"/>
      <c r="M237" s="67"/>
      <c r="N237" s="67"/>
      <c r="O237" s="67">
        <f t="shared" si="14"/>
        <v>38</v>
      </c>
      <c r="P237" s="67">
        <f>IF(B237="", 0, IFERROR(MIN(C237+D237, VLOOKUP(B237, '💳 Debt Input'!$A:$G, 4, FALSE)), 0))</f>
        <v>0</v>
      </c>
      <c r="Q237" s="67"/>
    </row>
    <row r="238" spans="1:17" ht="18" customHeight="1" x14ac:dyDescent="0.35">
      <c r="A238" s="28"/>
      <c r="B238" s="26" t="str">
        <f>'💳 Debt Input'!$A$4</f>
        <v>Store Card</v>
      </c>
      <c r="C238" s="27">
        <f t="shared" si="15"/>
        <v>0</v>
      </c>
      <c r="D238" s="27">
        <f>ROUND(C238*'💳 Debt Input'!$C$4/12,2)</f>
        <v>0</v>
      </c>
      <c r="E238" s="27">
        <f>IF(B238="", "", MIN(C238+D238, MAX(P238, $F$3 - SUMIFS(E$10:E237, O$10:O237, O238) - SUMIFS(P239:P$1995, O239:O$1995, O238))))</f>
        <v>0</v>
      </c>
      <c r="F238" s="27">
        <f t="shared" si="12"/>
        <v>0</v>
      </c>
      <c r="G238" s="28" t="str">
        <f t="shared" si="13"/>
        <v>Paid off</v>
      </c>
      <c r="H238" s="29"/>
      <c r="J238" s="67"/>
      <c r="K238" s="67"/>
      <c r="L238" s="67"/>
      <c r="M238" s="67"/>
      <c r="N238" s="67"/>
      <c r="O238" s="67">
        <f t="shared" si="14"/>
        <v>38</v>
      </c>
      <c r="P238" s="67">
        <f>IF(B238="", 0, IFERROR(MIN(C238+D238, VLOOKUP(B238, '💳 Debt Input'!$A:$G, 4, FALSE)), 0))</f>
        <v>0</v>
      </c>
      <c r="Q238" s="67"/>
    </row>
    <row r="239" spans="1:17" ht="18" customHeight="1" x14ac:dyDescent="0.35">
      <c r="A239" s="24">
        <v>39</v>
      </c>
      <c r="B239" s="8" t="str">
        <f>'💳 Debt Input'!$A$9</f>
        <v>Rewards Visa</v>
      </c>
      <c r="C239" s="10">
        <f t="shared" si="15"/>
        <v>10803.02</v>
      </c>
      <c r="D239" s="10">
        <f>ROUND(C239*'💳 Debt Input'!$C$9/12,2)</f>
        <v>324.08999999999997</v>
      </c>
      <c r="E239" s="10">
        <f>IF(B239="", "", MIN(C239+D239, MAX(P239, $F$3 - SUMIFS(E$10:E238, O$10:O238, O239) - SUMIFS(P240:P$1995, O240:O$1995, O239))))</f>
        <v>580</v>
      </c>
      <c r="F239" s="10">
        <f t="shared" si="12"/>
        <v>10547.11</v>
      </c>
      <c r="G239" s="19" t="str">
        <f t="shared" si="13"/>
        <v>Active</v>
      </c>
      <c r="H239" s="20"/>
      <c r="J239" s="67"/>
      <c r="K239" s="67"/>
      <c r="L239" s="67"/>
      <c r="M239" s="67"/>
      <c r="N239" s="67"/>
      <c r="O239" s="67">
        <f t="shared" si="14"/>
        <v>39</v>
      </c>
      <c r="P239" s="67">
        <f>IF(B239="", 0, IFERROR(MIN(C239+D239, VLOOKUP(B239, '💳 Debt Input'!$A:$G, 4, FALSE)), 0))</f>
        <v>480</v>
      </c>
      <c r="Q239" s="67"/>
    </row>
    <row r="240" spans="1:17" ht="18" customHeight="1" x14ac:dyDescent="0.35">
      <c r="A240" s="19"/>
      <c r="B240" s="8" t="str">
        <f>'💳 Debt Input'!$A$8</f>
        <v>Travel Card</v>
      </c>
      <c r="C240" s="10">
        <f t="shared" si="15"/>
        <v>2152.85</v>
      </c>
      <c r="D240" s="10">
        <f>ROUND(C240*'💳 Debt Input'!$C$8/12,2)</f>
        <v>32.29</v>
      </c>
      <c r="E240" s="10">
        <f>IF(B240="", "", MIN(C240+D240, MAX(P240, $F$3 - SUMIFS(E$10:E239, O$10:O239, O240) - SUMIFS(P241:P$1995, O241:O$1995, O240))))</f>
        <v>270</v>
      </c>
      <c r="F240" s="10">
        <f t="shared" si="12"/>
        <v>1915.14</v>
      </c>
      <c r="G240" s="19" t="str">
        <f t="shared" si="13"/>
        <v>Active</v>
      </c>
      <c r="H240" s="20"/>
      <c r="J240" s="67"/>
      <c r="K240" s="67"/>
      <c r="L240" s="67"/>
      <c r="M240" s="67"/>
      <c r="N240" s="67"/>
      <c r="O240" s="67">
        <f t="shared" si="14"/>
        <v>39</v>
      </c>
      <c r="P240" s="67">
        <f>IF(B240="", 0, IFERROR(MIN(C240+D240, VLOOKUP(B240, '💳 Debt Input'!$A:$G, 4, FALSE)), 0))</f>
        <v>270</v>
      </c>
      <c r="Q240" s="67"/>
    </row>
    <row r="241" spans="1:17" ht="18" customHeight="1" x14ac:dyDescent="0.35">
      <c r="A241" s="19"/>
      <c r="B241" s="8" t="str">
        <f>'💳 Debt Input'!$A$7</f>
        <v>Auto Loan</v>
      </c>
      <c r="C241" s="10">
        <f t="shared" si="15"/>
        <v>144.22</v>
      </c>
      <c r="D241" s="10">
        <f>ROUND(C241*'💳 Debt Input'!$C$7/12,2)</f>
        <v>1.2</v>
      </c>
      <c r="E241" s="10">
        <f>IF(B241="", "", MIN(C241+D241, MAX(P241, $F$3 - SUMIFS(E$10:E240, O$10:O240, O241) - SUMIFS(P242:P$1995, O242:O$1995, O241))))</f>
        <v>120</v>
      </c>
      <c r="F241" s="10">
        <f t="shared" si="12"/>
        <v>25.42</v>
      </c>
      <c r="G241" s="19" t="str">
        <f t="shared" si="13"/>
        <v>Active</v>
      </c>
      <c r="H241" s="20"/>
      <c r="J241" s="67"/>
      <c r="K241" s="67"/>
      <c r="L241" s="67"/>
      <c r="M241" s="67"/>
      <c r="N241" s="67"/>
      <c r="O241" s="67">
        <f t="shared" si="14"/>
        <v>39</v>
      </c>
      <c r="P241" s="67">
        <f>IF(B241="", 0, IFERROR(MIN(C241+D241, VLOOKUP(B241, '💳 Debt Input'!$A:$G, 4, FALSE)), 0))</f>
        <v>120</v>
      </c>
      <c r="Q241" s="67"/>
    </row>
    <row r="242" spans="1:17" ht="18" customHeight="1" x14ac:dyDescent="0.35">
      <c r="A242" s="19"/>
      <c r="B242" s="8" t="str">
        <f>'💳 Debt Input'!$A$6</f>
        <v>Personal Loan</v>
      </c>
      <c r="C242" s="10">
        <f t="shared" si="15"/>
        <v>143.62</v>
      </c>
      <c r="D242" s="10">
        <f>ROUND(C242*'💳 Debt Input'!$C$6/12,2)</f>
        <v>0.72</v>
      </c>
      <c r="E242" s="10">
        <f>IF(B242="", "", MIN(C242+D242, MAX(P242, $F$3 - SUMIFS(E$10:E241, O$10:O241, O242) - SUMIFS(P243:P$1995, O243:O$1995, O242))))</f>
        <v>40</v>
      </c>
      <c r="F242" s="10">
        <f t="shared" si="12"/>
        <v>104.34</v>
      </c>
      <c r="G242" s="19" t="str">
        <f t="shared" si="13"/>
        <v>Active</v>
      </c>
      <c r="H242" s="20"/>
      <c r="J242" s="67"/>
      <c r="K242" s="67"/>
      <c r="L242" s="67"/>
      <c r="M242" s="67"/>
      <c r="N242" s="67"/>
      <c r="O242" s="67">
        <f t="shared" si="14"/>
        <v>39</v>
      </c>
      <c r="P242" s="67">
        <f>IF(B242="", 0, IFERROR(MIN(C242+D242, VLOOKUP(B242, '💳 Debt Input'!$A:$G, 4, FALSE)), 0))</f>
        <v>40</v>
      </c>
      <c r="Q242" s="67"/>
    </row>
    <row r="243" spans="1:17" ht="18" customHeight="1" x14ac:dyDescent="0.35">
      <c r="A243" s="28"/>
      <c r="B243" s="26" t="str">
        <f>'💳 Debt Input'!$A$5</f>
        <v>Medical Bill</v>
      </c>
      <c r="C243" s="27">
        <f t="shared" si="15"/>
        <v>0</v>
      </c>
      <c r="D243" s="27">
        <f>ROUND(C243*'💳 Debt Input'!$C$5/12,2)</f>
        <v>0</v>
      </c>
      <c r="E243" s="27">
        <f>IF(B243="", "", MIN(C243+D243, MAX(P243, $F$3 - SUMIFS(E$10:E242, O$10:O242, O243) - SUMIFS(P244:P$1995, O244:O$1995, O243))))</f>
        <v>0</v>
      </c>
      <c r="F243" s="27">
        <f t="shared" si="12"/>
        <v>0</v>
      </c>
      <c r="G243" s="28" t="str">
        <f t="shared" si="13"/>
        <v>Paid off</v>
      </c>
      <c r="H243" s="29"/>
      <c r="J243" s="67"/>
      <c r="K243" s="67"/>
      <c r="L243" s="67"/>
      <c r="M243" s="67"/>
      <c r="N243" s="67"/>
      <c r="O243" s="67">
        <f t="shared" si="14"/>
        <v>39</v>
      </c>
      <c r="P243" s="67">
        <f>IF(B243="", 0, IFERROR(MIN(C243+D243, VLOOKUP(B243, '💳 Debt Input'!$A:$G, 4, FALSE)), 0))</f>
        <v>0</v>
      </c>
      <c r="Q243" s="67"/>
    </row>
    <row r="244" spans="1:17" ht="18" customHeight="1" x14ac:dyDescent="0.35">
      <c r="A244" s="28"/>
      <c r="B244" s="26" t="str">
        <f>'💳 Debt Input'!$A$4</f>
        <v>Store Card</v>
      </c>
      <c r="C244" s="27">
        <f t="shared" si="15"/>
        <v>0</v>
      </c>
      <c r="D244" s="27">
        <f>ROUND(C244*'💳 Debt Input'!$C$4/12,2)</f>
        <v>0</v>
      </c>
      <c r="E244" s="27">
        <f>IF(B244="", "", MIN(C244+D244, MAX(P244, $F$3 - SUMIFS(E$10:E243, O$10:O243, O244) - SUMIFS(P245:P$1995, O245:O$1995, O244))))</f>
        <v>0</v>
      </c>
      <c r="F244" s="27">
        <f t="shared" si="12"/>
        <v>0</v>
      </c>
      <c r="G244" s="28" t="str">
        <f t="shared" si="13"/>
        <v>Paid off</v>
      </c>
      <c r="H244" s="29"/>
      <c r="J244" s="67"/>
      <c r="K244" s="67"/>
      <c r="L244" s="67"/>
      <c r="M244" s="67"/>
      <c r="N244" s="67"/>
      <c r="O244" s="67">
        <f t="shared" si="14"/>
        <v>39</v>
      </c>
      <c r="P244" s="67">
        <f>IF(B244="", 0, IFERROR(MIN(C244+D244, VLOOKUP(B244, '💳 Debt Input'!$A:$G, 4, FALSE)), 0))</f>
        <v>0</v>
      </c>
      <c r="Q244" s="67"/>
    </row>
    <row r="245" spans="1:17" ht="18" customHeight="1" x14ac:dyDescent="0.35">
      <c r="A245" s="21">
        <v>40</v>
      </c>
      <c r="B245" s="6" t="str">
        <f>'💳 Debt Input'!$A$9</f>
        <v>Rewards Visa</v>
      </c>
      <c r="C245" s="12">
        <f t="shared" si="15"/>
        <v>10547.11</v>
      </c>
      <c r="D245" s="12">
        <f>ROUND(C245*'💳 Debt Input'!$C$9/12,2)</f>
        <v>316.41000000000003</v>
      </c>
      <c r="E245" s="12">
        <f>IF(B245="", "", MIN(C245+D245, MAX(P245, $F$3 - SUMIFS(E$10:E244, O$10:O244, O245) - SUMIFS(P246:P$1995, O246:O$1995, O245))))</f>
        <v>674.37</v>
      </c>
      <c r="F245" s="12">
        <f t="shared" si="12"/>
        <v>10189.15</v>
      </c>
      <c r="G245" s="22" t="str">
        <f t="shared" si="13"/>
        <v>Active</v>
      </c>
      <c r="H245" s="23"/>
      <c r="J245" s="67"/>
      <c r="K245" s="67"/>
      <c r="L245" s="67"/>
      <c r="M245" s="67"/>
      <c r="N245" s="67"/>
      <c r="O245" s="67">
        <f t="shared" si="14"/>
        <v>40</v>
      </c>
      <c r="P245" s="67">
        <f>IF(B245="", 0, IFERROR(MIN(C245+D245, VLOOKUP(B245, '💳 Debt Input'!$A:$G, 4, FALSE)), 0))</f>
        <v>480</v>
      </c>
      <c r="Q245" s="67"/>
    </row>
    <row r="246" spans="1:17" ht="18" customHeight="1" x14ac:dyDescent="0.35">
      <c r="A246" s="22"/>
      <c r="B246" s="6" t="str">
        <f>'💳 Debt Input'!$A$8</f>
        <v>Travel Card</v>
      </c>
      <c r="C246" s="12">
        <f t="shared" si="15"/>
        <v>1915.14</v>
      </c>
      <c r="D246" s="12">
        <f>ROUND(C246*'💳 Debt Input'!$C$8/12,2)</f>
        <v>28.73</v>
      </c>
      <c r="E246" s="12">
        <f>IF(B246="", "", MIN(C246+D246, MAX(P246, $F$3 - SUMIFS(E$10:E245, O$10:O245, O246) - SUMIFS(P247:P$1995, O247:O$1995, O246))))</f>
        <v>270</v>
      </c>
      <c r="F246" s="12">
        <f t="shared" si="12"/>
        <v>1673.87</v>
      </c>
      <c r="G246" s="22" t="str">
        <f t="shared" si="13"/>
        <v>Active</v>
      </c>
      <c r="H246" s="23"/>
      <c r="J246" s="67"/>
      <c r="K246" s="67"/>
      <c r="L246" s="67"/>
      <c r="M246" s="67"/>
      <c r="N246" s="67"/>
      <c r="O246" s="67">
        <f t="shared" si="14"/>
        <v>40</v>
      </c>
      <c r="P246" s="67">
        <f>IF(B246="", 0, IFERROR(MIN(C246+D246, VLOOKUP(B246, '💳 Debt Input'!$A:$G, 4, FALSE)), 0))</f>
        <v>270</v>
      </c>
      <c r="Q246" s="67"/>
    </row>
    <row r="247" spans="1:17" ht="18" customHeight="1" x14ac:dyDescent="0.35">
      <c r="A247" s="28"/>
      <c r="B247" s="26" t="str">
        <f>'💳 Debt Input'!$A$7</f>
        <v>Auto Loan</v>
      </c>
      <c r="C247" s="27">
        <f t="shared" si="15"/>
        <v>25.42</v>
      </c>
      <c r="D247" s="27">
        <f>ROUND(C247*'💳 Debt Input'!$C$7/12,2)</f>
        <v>0.21</v>
      </c>
      <c r="E247" s="27">
        <f>IF(B247="", "", MIN(C247+D247, MAX(P247, $F$3 - SUMIFS(E$10:E246, O$10:O246, O247) - SUMIFS(P248:P$1995, O248:O$1995, O247))))</f>
        <v>25.630000000000003</v>
      </c>
      <c r="F247" s="27">
        <f t="shared" si="12"/>
        <v>0</v>
      </c>
      <c r="G247" s="28" t="str">
        <f t="shared" si="13"/>
        <v>Paid off</v>
      </c>
      <c r="H247" s="26"/>
      <c r="J247" s="67"/>
      <c r="K247" s="67"/>
      <c r="L247" s="67"/>
      <c r="M247" s="67"/>
      <c r="N247" s="67"/>
      <c r="O247" s="67">
        <f t="shared" si="14"/>
        <v>40</v>
      </c>
      <c r="P247" s="67">
        <f>IF(B247="", 0, IFERROR(MIN(C247+D247, VLOOKUP(B247, '💳 Debt Input'!$A:$G, 4, FALSE)), 0))</f>
        <v>25.630000000000003</v>
      </c>
      <c r="Q247" s="67"/>
    </row>
    <row r="248" spans="1:17" ht="18" customHeight="1" x14ac:dyDescent="0.35">
      <c r="A248" s="22"/>
      <c r="B248" s="6" t="str">
        <f>'💳 Debt Input'!$A$6</f>
        <v>Personal Loan</v>
      </c>
      <c r="C248" s="12">
        <f t="shared" si="15"/>
        <v>104.34</v>
      </c>
      <c r="D248" s="12">
        <f>ROUND(C248*'💳 Debt Input'!$C$6/12,2)</f>
        <v>0.52</v>
      </c>
      <c r="E248" s="12">
        <f>IF(B248="", "", MIN(C248+D248, MAX(P248, $F$3 - SUMIFS(E$10:E247, O$10:O247, O248) - SUMIFS(P249:P$1995, O249:O$1995, O248))))</f>
        <v>40</v>
      </c>
      <c r="F248" s="12">
        <f t="shared" si="12"/>
        <v>64.86</v>
      </c>
      <c r="G248" s="22" t="str">
        <f t="shared" si="13"/>
        <v>Active</v>
      </c>
      <c r="H248" s="23"/>
      <c r="J248" s="67"/>
      <c r="K248" s="67"/>
      <c r="L248" s="67"/>
      <c r="M248" s="67"/>
      <c r="N248" s="67"/>
      <c r="O248" s="67">
        <f t="shared" si="14"/>
        <v>40</v>
      </c>
      <c r="P248" s="67">
        <f>IF(B248="", 0, IFERROR(MIN(C248+D248, VLOOKUP(B248, '💳 Debt Input'!$A:$G, 4, FALSE)), 0))</f>
        <v>40</v>
      </c>
      <c r="Q248" s="67"/>
    </row>
    <row r="249" spans="1:17" ht="18" customHeight="1" x14ac:dyDescent="0.35">
      <c r="A249" s="28"/>
      <c r="B249" s="26" t="str">
        <f>'💳 Debt Input'!$A$5</f>
        <v>Medical Bill</v>
      </c>
      <c r="C249" s="27">
        <f t="shared" si="15"/>
        <v>0</v>
      </c>
      <c r="D249" s="27">
        <f>ROUND(C249*'💳 Debt Input'!$C$5/12,2)</f>
        <v>0</v>
      </c>
      <c r="E249" s="27">
        <f>IF(B249="", "", MIN(C249+D249, MAX(P249, $F$3 - SUMIFS(E$10:E248, O$10:O248, O249) - SUMIFS(P250:P$1995, O250:O$1995, O249))))</f>
        <v>0</v>
      </c>
      <c r="F249" s="27">
        <f t="shared" si="12"/>
        <v>0</v>
      </c>
      <c r="G249" s="28" t="str">
        <f t="shared" si="13"/>
        <v>Paid off</v>
      </c>
      <c r="H249" s="29"/>
      <c r="J249" s="67"/>
      <c r="K249" s="67"/>
      <c r="L249" s="67"/>
      <c r="M249" s="67"/>
      <c r="N249" s="67"/>
      <c r="O249" s="67">
        <f t="shared" si="14"/>
        <v>40</v>
      </c>
      <c r="P249" s="67">
        <f>IF(B249="", 0, IFERROR(MIN(C249+D249, VLOOKUP(B249, '💳 Debt Input'!$A:$G, 4, FALSE)), 0))</f>
        <v>0</v>
      </c>
      <c r="Q249" s="67"/>
    </row>
    <row r="250" spans="1:17" ht="18" customHeight="1" x14ac:dyDescent="0.35">
      <c r="A250" s="28"/>
      <c r="B250" s="26" t="str">
        <f>'💳 Debt Input'!$A$4</f>
        <v>Store Card</v>
      </c>
      <c r="C250" s="27">
        <f t="shared" si="15"/>
        <v>0</v>
      </c>
      <c r="D250" s="27">
        <f>ROUND(C250*'💳 Debt Input'!$C$4/12,2)</f>
        <v>0</v>
      </c>
      <c r="E250" s="27">
        <f>IF(B250="", "", MIN(C250+D250, MAX(P250, $F$3 - SUMIFS(E$10:E249, O$10:O249, O250) - SUMIFS(P251:P$1995, O251:O$1995, O250))))</f>
        <v>0</v>
      </c>
      <c r="F250" s="27">
        <f t="shared" si="12"/>
        <v>0</v>
      </c>
      <c r="G250" s="28" t="str">
        <f t="shared" si="13"/>
        <v>Paid off</v>
      </c>
      <c r="H250" s="29"/>
      <c r="J250" s="67"/>
      <c r="K250" s="67"/>
      <c r="L250" s="67"/>
      <c r="M250" s="67"/>
      <c r="N250" s="67"/>
      <c r="O250" s="67">
        <f t="shared" si="14"/>
        <v>40</v>
      </c>
      <c r="P250" s="67">
        <f>IF(B250="", 0, IFERROR(MIN(C250+D250, VLOOKUP(B250, '💳 Debt Input'!$A:$G, 4, FALSE)), 0))</f>
        <v>0</v>
      </c>
      <c r="Q250" s="67"/>
    </row>
    <row r="251" spans="1:17" ht="18" customHeight="1" x14ac:dyDescent="0.35">
      <c r="A251" s="24">
        <v>41</v>
      </c>
      <c r="B251" s="8" t="str">
        <f>'💳 Debt Input'!$A$9</f>
        <v>Rewards Visa</v>
      </c>
      <c r="C251" s="10">
        <f t="shared" si="15"/>
        <v>10189.15</v>
      </c>
      <c r="D251" s="10">
        <f>ROUND(C251*'💳 Debt Input'!$C$9/12,2)</f>
        <v>305.67</v>
      </c>
      <c r="E251" s="10">
        <f>IF(B251="", "", MIN(C251+D251, MAX(P251, $F$3 - SUMIFS(E$10:E250, O$10:O250, O251) - SUMIFS(P252:P$1995, O252:O$1995, O251))))</f>
        <v>700</v>
      </c>
      <c r="F251" s="10">
        <f t="shared" si="12"/>
        <v>9794.82</v>
      </c>
      <c r="G251" s="19" t="str">
        <f t="shared" si="13"/>
        <v>Active</v>
      </c>
      <c r="H251" s="20"/>
      <c r="J251" s="67"/>
      <c r="K251" s="67"/>
      <c r="L251" s="67"/>
      <c r="M251" s="67"/>
      <c r="N251" s="67"/>
      <c r="O251" s="67">
        <f t="shared" si="14"/>
        <v>41</v>
      </c>
      <c r="P251" s="67">
        <f>IF(B251="", 0, IFERROR(MIN(C251+D251, VLOOKUP(B251, '💳 Debt Input'!$A:$G, 4, FALSE)), 0))</f>
        <v>480</v>
      </c>
      <c r="Q251" s="67"/>
    </row>
    <row r="252" spans="1:17" ht="18" customHeight="1" x14ac:dyDescent="0.35">
      <c r="A252" s="19"/>
      <c r="B252" s="8" t="str">
        <f>'💳 Debt Input'!$A$8</f>
        <v>Travel Card</v>
      </c>
      <c r="C252" s="10">
        <f t="shared" si="15"/>
        <v>1673.87</v>
      </c>
      <c r="D252" s="10">
        <f>ROUND(C252*'💳 Debt Input'!$C$8/12,2)</f>
        <v>25.11</v>
      </c>
      <c r="E252" s="10">
        <f>IF(B252="", "", MIN(C252+D252, MAX(P252, $F$3 - SUMIFS(E$10:E251, O$10:O251, O252) - SUMIFS(P253:P$1995, O253:O$1995, O252))))</f>
        <v>270</v>
      </c>
      <c r="F252" s="10">
        <f t="shared" si="12"/>
        <v>1428.98</v>
      </c>
      <c r="G252" s="19" t="str">
        <f t="shared" si="13"/>
        <v>Active</v>
      </c>
      <c r="H252" s="20"/>
      <c r="J252" s="67"/>
      <c r="K252" s="67"/>
      <c r="L252" s="67"/>
      <c r="M252" s="67"/>
      <c r="N252" s="67"/>
      <c r="O252" s="67">
        <f t="shared" si="14"/>
        <v>41</v>
      </c>
      <c r="P252" s="67">
        <f>IF(B252="", 0, IFERROR(MIN(C252+D252, VLOOKUP(B252, '💳 Debt Input'!$A:$G, 4, FALSE)), 0))</f>
        <v>270</v>
      </c>
      <c r="Q252" s="67"/>
    </row>
    <row r="253" spans="1:17" ht="18" customHeight="1" x14ac:dyDescent="0.35">
      <c r="A253" s="28"/>
      <c r="B253" s="26" t="str">
        <f>'💳 Debt Input'!$A$7</f>
        <v>Auto Loan</v>
      </c>
      <c r="C253" s="27">
        <f t="shared" si="15"/>
        <v>0</v>
      </c>
      <c r="D253" s="27">
        <f>ROUND(C253*'💳 Debt Input'!$C$7/12,2)</f>
        <v>0</v>
      </c>
      <c r="E253" s="27">
        <f>IF(B253="", "", MIN(C253+D253, MAX(P253, $F$3 - SUMIFS(E$10:E252, O$10:O252, O253) - SUMIFS(P254:P$1995, O254:O$1995, O253))))</f>
        <v>0</v>
      </c>
      <c r="F253" s="27">
        <f t="shared" si="12"/>
        <v>0</v>
      </c>
      <c r="G253" s="28" t="str">
        <f t="shared" si="13"/>
        <v>Paid off</v>
      </c>
      <c r="H253" s="29"/>
      <c r="J253" s="67"/>
      <c r="K253" s="67"/>
      <c r="L253" s="67"/>
      <c r="M253" s="67"/>
      <c r="N253" s="67"/>
      <c r="O253" s="67">
        <f t="shared" si="14"/>
        <v>41</v>
      </c>
      <c r="P253" s="67">
        <f>IF(B253="", 0, IFERROR(MIN(C253+D253, VLOOKUP(B253, '💳 Debt Input'!$A:$G, 4, FALSE)), 0))</f>
        <v>0</v>
      </c>
      <c r="Q253" s="67"/>
    </row>
    <row r="254" spans="1:17" ht="18" customHeight="1" x14ac:dyDescent="0.35">
      <c r="A254" s="19"/>
      <c r="B254" s="8" t="str">
        <f>'💳 Debt Input'!$A$6</f>
        <v>Personal Loan</v>
      </c>
      <c r="C254" s="10">
        <f t="shared" si="15"/>
        <v>64.86</v>
      </c>
      <c r="D254" s="10">
        <f>ROUND(C254*'💳 Debt Input'!$C$6/12,2)</f>
        <v>0.32</v>
      </c>
      <c r="E254" s="10">
        <f>IF(B254="", "", MIN(C254+D254, MAX(P254, $F$3 - SUMIFS(E$10:E253, O$10:O253, O254) - SUMIFS(P255:P$1995, O255:O$1995, O254))))</f>
        <v>40</v>
      </c>
      <c r="F254" s="10">
        <f t="shared" si="12"/>
        <v>25.18</v>
      </c>
      <c r="G254" s="19" t="str">
        <f t="shared" si="13"/>
        <v>Active</v>
      </c>
      <c r="H254" s="20"/>
      <c r="J254" s="67"/>
      <c r="K254" s="67"/>
      <c r="L254" s="67"/>
      <c r="M254" s="67"/>
      <c r="N254" s="67"/>
      <c r="O254" s="67">
        <f t="shared" si="14"/>
        <v>41</v>
      </c>
      <c r="P254" s="67">
        <f>IF(B254="", 0, IFERROR(MIN(C254+D254, VLOOKUP(B254, '💳 Debt Input'!$A:$G, 4, FALSE)), 0))</f>
        <v>40</v>
      </c>
      <c r="Q254" s="67"/>
    </row>
    <row r="255" spans="1:17" ht="18" customHeight="1" x14ac:dyDescent="0.35">
      <c r="A255" s="28"/>
      <c r="B255" s="26" t="str">
        <f>'💳 Debt Input'!$A$5</f>
        <v>Medical Bill</v>
      </c>
      <c r="C255" s="27">
        <f t="shared" si="15"/>
        <v>0</v>
      </c>
      <c r="D255" s="27">
        <f>ROUND(C255*'💳 Debt Input'!$C$5/12,2)</f>
        <v>0</v>
      </c>
      <c r="E255" s="27">
        <f>IF(B255="", "", MIN(C255+D255, MAX(P255, $F$3 - SUMIFS(E$10:E254, O$10:O254, O255) - SUMIFS(P256:P$1995, O256:O$1995, O255))))</f>
        <v>0</v>
      </c>
      <c r="F255" s="27">
        <f t="shared" si="12"/>
        <v>0</v>
      </c>
      <c r="G255" s="28" t="str">
        <f t="shared" si="13"/>
        <v>Paid off</v>
      </c>
      <c r="H255" s="29"/>
      <c r="J255" s="67"/>
      <c r="K255" s="67"/>
      <c r="L255" s="67"/>
      <c r="M255" s="67"/>
      <c r="N255" s="67"/>
      <c r="O255" s="67">
        <f t="shared" si="14"/>
        <v>41</v>
      </c>
      <c r="P255" s="67">
        <f>IF(B255="", 0, IFERROR(MIN(C255+D255, VLOOKUP(B255, '💳 Debt Input'!$A:$G, 4, FALSE)), 0))</f>
        <v>0</v>
      </c>
      <c r="Q255" s="67"/>
    </row>
    <row r="256" spans="1:17" ht="18" customHeight="1" x14ac:dyDescent="0.35">
      <c r="A256" s="28"/>
      <c r="B256" s="26" t="str">
        <f>'💳 Debt Input'!$A$4</f>
        <v>Store Card</v>
      </c>
      <c r="C256" s="27">
        <f t="shared" si="15"/>
        <v>0</v>
      </c>
      <c r="D256" s="27">
        <f>ROUND(C256*'💳 Debt Input'!$C$4/12,2)</f>
        <v>0</v>
      </c>
      <c r="E256" s="27">
        <f>IF(B256="", "", MIN(C256+D256, MAX(P256, $F$3 - SUMIFS(E$10:E255, O$10:O255, O256) - SUMIFS(P257:P$1995, O257:O$1995, O256))))</f>
        <v>0</v>
      </c>
      <c r="F256" s="27">
        <f t="shared" si="12"/>
        <v>0</v>
      </c>
      <c r="G256" s="28" t="str">
        <f t="shared" si="13"/>
        <v>Paid off</v>
      </c>
      <c r="H256" s="29"/>
      <c r="J256" s="67"/>
      <c r="K256" s="67"/>
      <c r="L256" s="67"/>
      <c r="M256" s="67"/>
      <c r="N256" s="67"/>
      <c r="O256" s="67">
        <f t="shared" si="14"/>
        <v>41</v>
      </c>
      <c r="P256" s="67">
        <f>IF(B256="", 0, IFERROR(MIN(C256+D256, VLOOKUP(B256, '💳 Debt Input'!$A:$G, 4, FALSE)), 0))</f>
        <v>0</v>
      </c>
      <c r="Q256" s="67"/>
    </row>
    <row r="257" spans="1:17" ht="18" customHeight="1" x14ac:dyDescent="0.35">
      <c r="A257" s="21">
        <v>42</v>
      </c>
      <c r="B257" s="6" t="str">
        <f>'💳 Debt Input'!$A$9</f>
        <v>Rewards Visa</v>
      </c>
      <c r="C257" s="12">
        <f t="shared" si="15"/>
        <v>9794.82</v>
      </c>
      <c r="D257" s="12">
        <f>ROUND(C257*'💳 Debt Input'!$C$9/12,2)</f>
        <v>293.83999999999997</v>
      </c>
      <c r="E257" s="12">
        <f>IF(B257="", "", MIN(C257+D257, MAX(P257, $F$3 - SUMIFS(E$10:E256, O$10:O256, O257) - SUMIFS(P258:P$1995, O258:O$1995, O257))))</f>
        <v>714.69</v>
      </c>
      <c r="F257" s="12">
        <f t="shared" si="12"/>
        <v>9373.9699999999993</v>
      </c>
      <c r="G257" s="22" t="str">
        <f t="shared" si="13"/>
        <v>Active</v>
      </c>
      <c r="H257" s="23"/>
      <c r="J257" s="67"/>
      <c r="K257" s="67"/>
      <c r="L257" s="67"/>
      <c r="M257" s="67"/>
      <c r="N257" s="67"/>
      <c r="O257" s="67">
        <f t="shared" si="14"/>
        <v>42</v>
      </c>
      <c r="P257" s="67">
        <f>IF(B257="", 0, IFERROR(MIN(C257+D257, VLOOKUP(B257, '💳 Debt Input'!$A:$G, 4, FALSE)), 0))</f>
        <v>480</v>
      </c>
      <c r="Q257" s="67"/>
    </row>
    <row r="258" spans="1:17" ht="18" customHeight="1" x14ac:dyDescent="0.35">
      <c r="A258" s="22"/>
      <c r="B258" s="6" t="str">
        <f>'💳 Debt Input'!$A$8</f>
        <v>Travel Card</v>
      </c>
      <c r="C258" s="12">
        <f t="shared" si="15"/>
        <v>1428.98</v>
      </c>
      <c r="D258" s="12">
        <f>ROUND(C258*'💳 Debt Input'!$C$8/12,2)</f>
        <v>21.43</v>
      </c>
      <c r="E258" s="12">
        <f>IF(B258="", "", MIN(C258+D258, MAX(P258, $F$3 - SUMIFS(E$10:E257, O$10:O257, O258) - SUMIFS(P259:P$1995, O259:O$1995, O258))))</f>
        <v>270</v>
      </c>
      <c r="F258" s="12">
        <f t="shared" si="12"/>
        <v>1180.4100000000001</v>
      </c>
      <c r="G258" s="22" t="str">
        <f t="shared" si="13"/>
        <v>Active</v>
      </c>
      <c r="H258" s="23"/>
      <c r="J258" s="67"/>
      <c r="K258" s="67"/>
      <c r="L258" s="67"/>
      <c r="M258" s="67"/>
      <c r="N258" s="67"/>
      <c r="O258" s="67">
        <f t="shared" si="14"/>
        <v>42</v>
      </c>
      <c r="P258" s="67">
        <f>IF(B258="", 0, IFERROR(MIN(C258+D258, VLOOKUP(B258, '💳 Debt Input'!$A:$G, 4, FALSE)), 0))</f>
        <v>270</v>
      </c>
      <c r="Q258" s="67"/>
    </row>
    <row r="259" spans="1:17" ht="18" customHeight="1" x14ac:dyDescent="0.35">
      <c r="A259" s="28"/>
      <c r="B259" s="26" t="str">
        <f>'💳 Debt Input'!$A$7</f>
        <v>Auto Loan</v>
      </c>
      <c r="C259" s="27">
        <f t="shared" si="15"/>
        <v>0</v>
      </c>
      <c r="D259" s="27">
        <f>ROUND(C259*'💳 Debt Input'!$C$7/12,2)</f>
        <v>0</v>
      </c>
      <c r="E259" s="27">
        <f>IF(B259="", "", MIN(C259+D259, MAX(P259, $F$3 - SUMIFS(E$10:E258, O$10:O258, O259) - SUMIFS(P260:P$1995, O260:O$1995, O259))))</f>
        <v>0</v>
      </c>
      <c r="F259" s="27">
        <f t="shared" si="12"/>
        <v>0</v>
      </c>
      <c r="G259" s="28" t="str">
        <f t="shared" si="13"/>
        <v>Paid off</v>
      </c>
      <c r="H259" s="29"/>
      <c r="J259" s="67"/>
      <c r="K259" s="67"/>
      <c r="L259" s="67"/>
      <c r="M259" s="67"/>
      <c r="N259" s="67"/>
      <c r="O259" s="67">
        <f t="shared" si="14"/>
        <v>42</v>
      </c>
      <c r="P259" s="67">
        <f>IF(B259="", 0, IFERROR(MIN(C259+D259, VLOOKUP(B259, '💳 Debt Input'!$A:$G, 4, FALSE)), 0))</f>
        <v>0</v>
      </c>
      <c r="Q259" s="67"/>
    </row>
    <row r="260" spans="1:17" ht="18" customHeight="1" x14ac:dyDescent="0.35">
      <c r="A260" s="28"/>
      <c r="B260" s="26" t="str">
        <f>'💳 Debt Input'!$A$6</f>
        <v>Personal Loan</v>
      </c>
      <c r="C260" s="27">
        <f t="shared" si="15"/>
        <v>25.18</v>
      </c>
      <c r="D260" s="27">
        <f>ROUND(C260*'💳 Debt Input'!$C$6/12,2)</f>
        <v>0.13</v>
      </c>
      <c r="E260" s="27">
        <f>IF(B260="", "", MIN(C260+D260, MAX(P260, $F$3 - SUMIFS(E$10:E259, O$10:O259, O260) - SUMIFS(P261:P$1995, O261:O$1995, O260))))</f>
        <v>25.31</v>
      </c>
      <c r="F260" s="27">
        <f t="shared" si="12"/>
        <v>0</v>
      </c>
      <c r="G260" s="28" t="str">
        <f t="shared" si="13"/>
        <v>Paid off</v>
      </c>
      <c r="H260" s="26"/>
      <c r="J260" s="67"/>
      <c r="K260" s="67"/>
      <c r="L260" s="67"/>
      <c r="M260" s="67"/>
      <c r="N260" s="67"/>
      <c r="O260" s="67">
        <f t="shared" si="14"/>
        <v>42</v>
      </c>
      <c r="P260" s="67">
        <f>IF(B260="", 0, IFERROR(MIN(C260+D260, VLOOKUP(B260, '💳 Debt Input'!$A:$G, 4, FALSE)), 0))</f>
        <v>25.31</v>
      </c>
      <c r="Q260" s="67"/>
    </row>
    <row r="261" spans="1:17" ht="18" customHeight="1" x14ac:dyDescent="0.35">
      <c r="A261" s="28"/>
      <c r="B261" s="26" t="str">
        <f>'💳 Debt Input'!$A$5</f>
        <v>Medical Bill</v>
      </c>
      <c r="C261" s="27">
        <f t="shared" si="15"/>
        <v>0</v>
      </c>
      <c r="D261" s="27">
        <f>ROUND(C261*'💳 Debt Input'!$C$5/12,2)</f>
        <v>0</v>
      </c>
      <c r="E261" s="27">
        <f>IF(B261="", "", MIN(C261+D261, MAX(P261, $F$3 - SUMIFS(E$10:E260, O$10:O260, O261) - SUMIFS(P262:P$1995, O262:O$1995, O261))))</f>
        <v>0</v>
      </c>
      <c r="F261" s="27">
        <f t="shared" si="12"/>
        <v>0</v>
      </c>
      <c r="G261" s="28" t="str">
        <f t="shared" si="13"/>
        <v>Paid off</v>
      </c>
      <c r="H261" s="29"/>
      <c r="J261" s="67"/>
      <c r="K261" s="67"/>
      <c r="L261" s="67"/>
      <c r="M261" s="67"/>
      <c r="N261" s="67"/>
      <c r="O261" s="67">
        <f t="shared" si="14"/>
        <v>42</v>
      </c>
      <c r="P261" s="67">
        <f>IF(B261="", 0, IFERROR(MIN(C261+D261, VLOOKUP(B261, '💳 Debt Input'!$A:$G, 4, FALSE)), 0))</f>
        <v>0</v>
      </c>
      <c r="Q261" s="67"/>
    </row>
    <row r="262" spans="1:17" ht="18" customHeight="1" x14ac:dyDescent="0.35">
      <c r="A262" s="28"/>
      <c r="B262" s="26" t="str">
        <f>'💳 Debt Input'!$A$4</f>
        <v>Store Card</v>
      </c>
      <c r="C262" s="27">
        <f t="shared" si="15"/>
        <v>0</v>
      </c>
      <c r="D262" s="27">
        <f>ROUND(C262*'💳 Debt Input'!$C$4/12,2)</f>
        <v>0</v>
      </c>
      <c r="E262" s="27">
        <f>IF(B262="", "", MIN(C262+D262, MAX(P262, $F$3 - SUMIFS(E$10:E261, O$10:O261, O262) - SUMIFS(P263:P$1995, O263:O$1995, O262))))</f>
        <v>0</v>
      </c>
      <c r="F262" s="27">
        <f t="shared" si="12"/>
        <v>0</v>
      </c>
      <c r="G262" s="28" t="str">
        <f t="shared" si="13"/>
        <v>Paid off</v>
      </c>
      <c r="H262" s="29"/>
      <c r="J262" s="67"/>
      <c r="K262" s="67"/>
      <c r="L262" s="67"/>
      <c r="M262" s="67"/>
      <c r="N262" s="67"/>
      <c r="O262" s="67">
        <f t="shared" si="14"/>
        <v>42</v>
      </c>
      <c r="P262" s="67">
        <f>IF(B262="", 0, IFERROR(MIN(C262+D262, VLOOKUP(B262, '💳 Debt Input'!$A:$G, 4, FALSE)), 0))</f>
        <v>0</v>
      </c>
      <c r="Q262" s="67"/>
    </row>
    <row r="263" spans="1:17" ht="18" customHeight="1" x14ac:dyDescent="0.35">
      <c r="A263" s="24">
        <v>43</v>
      </c>
      <c r="B263" s="8" t="str">
        <f>'💳 Debt Input'!$A$9</f>
        <v>Rewards Visa</v>
      </c>
      <c r="C263" s="10">
        <f t="shared" si="15"/>
        <v>9373.9699999999993</v>
      </c>
      <c r="D263" s="10">
        <f>ROUND(C263*'💳 Debt Input'!$C$9/12,2)</f>
        <v>281.22000000000003</v>
      </c>
      <c r="E263" s="10">
        <f>IF(B263="", "", MIN(C263+D263, MAX(P263, $F$3 - SUMIFS(E$10:E262, O$10:O262, O263) - SUMIFS(P264:P$1995, O264:O$1995, O263))))</f>
        <v>740</v>
      </c>
      <c r="F263" s="10">
        <f t="shared" si="12"/>
        <v>8915.19</v>
      </c>
      <c r="G263" s="19" t="str">
        <f t="shared" si="13"/>
        <v>Active</v>
      </c>
      <c r="H263" s="20"/>
      <c r="J263" s="67"/>
      <c r="K263" s="67"/>
      <c r="L263" s="67"/>
      <c r="M263" s="67"/>
      <c r="N263" s="67"/>
      <c r="O263" s="67">
        <f t="shared" si="14"/>
        <v>43</v>
      </c>
      <c r="P263" s="67">
        <f>IF(B263="", 0, IFERROR(MIN(C263+D263, VLOOKUP(B263, '💳 Debt Input'!$A:$G, 4, FALSE)), 0))</f>
        <v>480</v>
      </c>
      <c r="Q263" s="67"/>
    </row>
    <row r="264" spans="1:17" ht="18" customHeight="1" x14ac:dyDescent="0.35">
      <c r="A264" s="19"/>
      <c r="B264" s="8" t="str">
        <f>'💳 Debt Input'!$A$8</f>
        <v>Travel Card</v>
      </c>
      <c r="C264" s="10">
        <f t="shared" si="15"/>
        <v>1180.4100000000001</v>
      </c>
      <c r="D264" s="10">
        <f>ROUND(C264*'💳 Debt Input'!$C$8/12,2)</f>
        <v>17.71</v>
      </c>
      <c r="E264" s="10">
        <f>IF(B264="", "", MIN(C264+D264, MAX(P264, $F$3 - SUMIFS(E$10:E263, O$10:O263, O264) - SUMIFS(P265:P$1995, O265:O$1995, O264))))</f>
        <v>270</v>
      </c>
      <c r="F264" s="10">
        <f t="shared" si="12"/>
        <v>928.12</v>
      </c>
      <c r="G264" s="19" t="str">
        <f t="shared" si="13"/>
        <v>Active</v>
      </c>
      <c r="H264" s="20"/>
      <c r="J264" s="67"/>
      <c r="K264" s="67"/>
      <c r="L264" s="67"/>
      <c r="M264" s="67"/>
      <c r="N264" s="67"/>
      <c r="O264" s="67">
        <f t="shared" si="14"/>
        <v>43</v>
      </c>
      <c r="P264" s="67">
        <f>IF(B264="", 0, IFERROR(MIN(C264+D264, VLOOKUP(B264, '💳 Debt Input'!$A:$G, 4, FALSE)), 0))</f>
        <v>270</v>
      </c>
      <c r="Q264" s="67"/>
    </row>
    <row r="265" spans="1:17" ht="18" customHeight="1" x14ac:dyDescent="0.35">
      <c r="A265" s="28"/>
      <c r="B265" s="26" t="str">
        <f>'💳 Debt Input'!$A$7</f>
        <v>Auto Loan</v>
      </c>
      <c r="C265" s="27">
        <f t="shared" si="15"/>
        <v>0</v>
      </c>
      <c r="D265" s="27">
        <f>ROUND(C265*'💳 Debt Input'!$C$7/12,2)</f>
        <v>0</v>
      </c>
      <c r="E265" s="27">
        <f>IF(B265="", "", MIN(C265+D265, MAX(P265, $F$3 - SUMIFS(E$10:E264, O$10:O264, O265) - SUMIFS(P266:P$1995, O266:O$1995, O265))))</f>
        <v>0</v>
      </c>
      <c r="F265" s="27">
        <f t="shared" si="12"/>
        <v>0</v>
      </c>
      <c r="G265" s="28" t="str">
        <f t="shared" si="13"/>
        <v>Paid off</v>
      </c>
      <c r="H265" s="29"/>
      <c r="J265" s="67"/>
      <c r="K265" s="67"/>
      <c r="L265" s="67"/>
      <c r="M265" s="67"/>
      <c r="N265" s="67"/>
      <c r="O265" s="67">
        <f t="shared" si="14"/>
        <v>43</v>
      </c>
      <c r="P265" s="67">
        <f>IF(B265="", 0, IFERROR(MIN(C265+D265, VLOOKUP(B265, '💳 Debt Input'!$A:$G, 4, FALSE)), 0))</f>
        <v>0</v>
      </c>
      <c r="Q265" s="67"/>
    </row>
    <row r="266" spans="1:17" ht="18" customHeight="1" x14ac:dyDescent="0.35">
      <c r="A266" s="28"/>
      <c r="B266" s="26" t="str">
        <f>'💳 Debt Input'!$A$6</f>
        <v>Personal Loan</v>
      </c>
      <c r="C266" s="27">
        <f t="shared" si="15"/>
        <v>0</v>
      </c>
      <c r="D266" s="27">
        <f>ROUND(C266*'💳 Debt Input'!$C$6/12,2)</f>
        <v>0</v>
      </c>
      <c r="E266" s="27">
        <f>IF(B266="", "", MIN(C266+D266, MAX(P266, $F$3 - SUMIFS(E$10:E265, O$10:O265, O266) - SUMIFS(P267:P$1995, O267:O$1995, O266))))</f>
        <v>0</v>
      </c>
      <c r="F266" s="27">
        <f t="shared" si="12"/>
        <v>0</v>
      </c>
      <c r="G266" s="28" t="str">
        <f t="shared" si="13"/>
        <v>Paid off</v>
      </c>
      <c r="H266" s="29"/>
      <c r="J266" s="67"/>
      <c r="K266" s="67"/>
      <c r="L266" s="67"/>
      <c r="M266" s="67"/>
      <c r="N266" s="67"/>
      <c r="O266" s="67">
        <f t="shared" si="14"/>
        <v>43</v>
      </c>
      <c r="P266" s="67">
        <f>IF(B266="", 0, IFERROR(MIN(C266+D266, VLOOKUP(B266, '💳 Debt Input'!$A:$G, 4, FALSE)), 0))</f>
        <v>0</v>
      </c>
      <c r="Q266" s="67"/>
    </row>
    <row r="267" spans="1:17" ht="18" customHeight="1" x14ac:dyDescent="0.35">
      <c r="A267" s="28"/>
      <c r="B267" s="26" t="str">
        <f>'💳 Debt Input'!$A$5</f>
        <v>Medical Bill</v>
      </c>
      <c r="C267" s="27">
        <f t="shared" si="15"/>
        <v>0</v>
      </c>
      <c r="D267" s="27">
        <f>ROUND(C267*'💳 Debt Input'!$C$5/12,2)</f>
        <v>0</v>
      </c>
      <c r="E267" s="27">
        <f>IF(B267="", "", MIN(C267+D267, MAX(P267, $F$3 - SUMIFS(E$10:E266, O$10:O266, O267) - SUMIFS(P268:P$1995, O268:O$1995, O267))))</f>
        <v>0</v>
      </c>
      <c r="F267" s="27">
        <f t="shared" ref="F267:F330" si="16">ROUND(MAX(0,C267+D267-E267),2)</f>
        <v>0</v>
      </c>
      <c r="G267" s="28" t="str">
        <f t="shared" ref="G267:G330" si="17">IF(F267=0,"Paid off","Active")</f>
        <v>Paid off</v>
      </c>
      <c r="H267" s="29"/>
      <c r="J267" s="67"/>
      <c r="K267" s="67"/>
      <c r="L267" s="67"/>
      <c r="M267" s="67"/>
      <c r="N267" s="67"/>
      <c r="O267" s="67">
        <f t="shared" ref="O267:O330" si="18">IF(A267&lt;&gt;"", A267, O266)</f>
        <v>43</v>
      </c>
      <c r="P267" s="67">
        <f>IF(B267="", 0, IFERROR(MIN(C267+D267, VLOOKUP(B267, '💳 Debt Input'!$A:$G, 4, FALSE)), 0))</f>
        <v>0</v>
      </c>
      <c r="Q267" s="67"/>
    </row>
    <row r="268" spans="1:17" ht="18" customHeight="1" x14ac:dyDescent="0.35">
      <c r="A268" s="28"/>
      <c r="B268" s="26" t="str">
        <f>'💳 Debt Input'!$A$4</f>
        <v>Store Card</v>
      </c>
      <c r="C268" s="27">
        <f t="shared" si="15"/>
        <v>0</v>
      </c>
      <c r="D268" s="27">
        <f>ROUND(C268*'💳 Debt Input'!$C$4/12,2)</f>
        <v>0</v>
      </c>
      <c r="E268" s="27">
        <f>IF(B268="", "", MIN(C268+D268, MAX(P268, $F$3 - SUMIFS(E$10:E267, O$10:O267, O268) - SUMIFS(P269:P$1995, O269:O$1995, O268))))</f>
        <v>0</v>
      </c>
      <c r="F268" s="27">
        <f t="shared" si="16"/>
        <v>0</v>
      </c>
      <c r="G268" s="28" t="str">
        <f t="shared" si="17"/>
        <v>Paid off</v>
      </c>
      <c r="H268" s="29"/>
      <c r="J268" s="67"/>
      <c r="K268" s="67"/>
      <c r="L268" s="67"/>
      <c r="M268" s="67"/>
      <c r="N268" s="67"/>
      <c r="O268" s="67">
        <f t="shared" si="18"/>
        <v>43</v>
      </c>
      <c r="P268" s="67">
        <f>IF(B268="", 0, IFERROR(MIN(C268+D268, VLOOKUP(B268, '💳 Debt Input'!$A:$G, 4, FALSE)), 0))</f>
        <v>0</v>
      </c>
      <c r="Q268" s="67"/>
    </row>
    <row r="269" spans="1:17" ht="18" customHeight="1" x14ac:dyDescent="0.35">
      <c r="A269" s="21">
        <v>44</v>
      </c>
      <c r="B269" s="6" t="str">
        <f>'💳 Debt Input'!$A$9</f>
        <v>Rewards Visa</v>
      </c>
      <c r="C269" s="12">
        <f t="shared" si="15"/>
        <v>8915.19</v>
      </c>
      <c r="D269" s="12">
        <f>ROUND(C269*'💳 Debt Input'!$C$9/12,2)</f>
        <v>267.45999999999998</v>
      </c>
      <c r="E269" s="12">
        <f>IF(B269="", "", MIN(C269+D269, MAX(P269, $F$3 - SUMIFS(E$10:E268, O$10:O268, O269) - SUMIFS(P270:P$1995, O270:O$1995, O269))))</f>
        <v>740</v>
      </c>
      <c r="F269" s="12">
        <f t="shared" si="16"/>
        <v>8442.65</v>
      </c>
      <c r="G269" s="22" t="str">
        <f t="shared" si="17"/>
        <v>Active</v>
      </c>
      <c r="H269" s="23"/>
      <c r="J269" s="67"/>
      <c r="K269" s="67"/>
      <c r="L269" s="67"/>
      <c r="M269" s="67"/>
      <c r="N269" s="67"/>
      <c r="O269" s="67">
        <f t="shared" si="18"/>
        <v>44</v>
      </c>
      <c r="P269" s="67">
        <f>IF(B269="", 0, IFERROR(MIN(C269+D269, VLOOKUP(B269, '💳 Debt Input'!$A:$G, 4, FALSE)), 0))</f>
        <v>480</v>
      </c>
      <c r="Q269" s="67"/>
    </row>
    <row r="270" spans="1:17" ht="18" customHeight="1" x14ac:dyDescent="0.35">
      <c r="A270" s="22"/>
      <c r="B270" s="6" t="str">
        <f>'💳 Debt Input'!$A$8</f>
        <v>Travel Card</v>
      </c>
      <c r="C270" s="12">
        <f t="shared" si="15"/>
        <v>928.12</v>
      </c>
      <c r="D270" s="12">
        <f>ROUND(C270*'💳 Debt Input'!$C$8/12,2)</f>
        <v>13.92</v>
      </c>
      <c r="E270" s="12">
        <f>IF(B270="", "", MIN(C270+D270, MAX(P270, $F$3 - SUMIFS(E$10:E269, O$10:O269, O270) - SUMIFS(P271:P$1995, O271:O$1995, O270))))</f>
        <v>270</v>
      </c>
      <c r="F270" s="12">
        <f t="shared" si="16"/>
        <v>672.04</v>
      </c>
      <c r="G270" s="22" t="str">
        <f t="shared" si="17"/>
        <v>Active</v>
      </c>
      <c r="H270" s="23"/>
      <c r="J270" s="67"/>
      <c r="K270" s="67"/>
      <c r="L270" s="67"/>
      <c r="M270" s="67"/>
      <c r="N270" s="67"/>
      <c r="O270" s="67">
        <f t="shared" si="18"/>
        <v>44</v>
      </c>
      <c r="P270" s="67">
        <f>IF(B270="", 0, IFERROR(MIN(C270+D270, VLOOKUP(B270, '💳 Debt Input'!$A:$G, 4, FALSE)), 0))</f>
        <v>270</v>
      </c>
      <c r="Q270" s="67"/>
    </row>
    <row r="271" spans="1:17" ht="18" customHeight="1" x14ac:dyDescent="0.35">
      <c r="A271" s="28"/>
      <c r="B271" s="26" t="str">
        <f>'💳 Debt Input'!$A$7</f>
        <v>Auto Loan</v>
      </c>
      <c r="C271" s="27">
        <f t="shared" si="15"/>
        <v>0</v>
      </c>
      <c r="D271" s="27">
        <f>ROUND(C271*'💳 Debt Input'!$C$7/12,2)</f>
        <v>0</v>
      </c>
      <c r="E271" s="27">
        <f>IF(B271="", "", MIN(C271+D271, MAX(P271, $F$3 - SUMIFS(E$10:E270, O$10:O270, O271) - SUMIFS(P272:P$1995, O272:O$1995, O271))))</f>
        <v>0</v>
      </c>
      <c r="F271" s="27">
        <f t="shared" si="16"/>
        <v>0</v>
      </c>
      <c r="G271" s="28" t="str">
        <f t="shared" si="17"/>
        <v>Paid off</v>
      </c>
      <c r="H271" s="29"/>
      <c r="J271" s="67"/>
      <c r="K271" s="67"/>
      <c r="L271" s="67"/>
      <c r="M271" s="67"/>
      <c r="N271" s="67"/>
      <c r="O271" s="67">
        <f t="shared" si="18"/>
        <v>44</v>
      </c>
      <c r="P271" s="67">
        <f>IF(B271="", 0, IFERROR(MIN(C271+D271, VLOOKUP(B271, '💳 Debt Input'!$A:$G, 4, FALSE)), 0))</f>
        <v>0</v>
      </c>
      <c r="Q271" s="67"/>
    </row>
    <row r="272" spans="1:17" ht="18" customHeight="1" x14ac:dyDescent="0.35">
      <c r="A272" s="28"/>
      <c r="B272" s="26" t="str">
        <f>'💳 Debt Input'!$A$6</f>
        <v>Personal Loan</v>
      </c>
      <c r="C272" s="27">
        <f t="shared" si="15"/>
        <v>0</v>
      </c>
      <c r="D272" s="27">
        <f>ROUND(C272*'💳 Debt Input'!$C$6/12,2)</f>
        <v>0</v>
      </c>
      <c r="E272" s="27">
        <f>IF(B272="", "", MIN(C272+D272, MAX(P272, $F$3 - SUMIFS(E$10:E271, O$10:O271, O272) - SUMIFS(P273:P$1995, O273:O$1995, O272))))</f>
        <v>0</v>
      </c>
      <c r="F272" s="27">
        <f t="shared" si="16"/>
        <v>0</v>
      </c>
      <c r="G272" s="28" t="str">
        <f t="shared" si="17"/>
        <v>Paid off</v>
      </c>
      <c r="H272" s="29"/>
      <c r="J272" s="67"/>
      <c r="K272" s="67"/>
      <c r="L272" s="67"/>
      <c r="M272" s="67"/>
      <c r="N272" s="67"/>
      <c r="O272" s="67">
        <f t="shared" si="18"/>
        <v>44</v>
      </c>
      <c r="P272" s="67">
        <f>IF(B272="", 0, IFERROR(MIN(C272+D272, VLOOKUP(B272, '💳 Debt Input'!$A:$G, 4, FALSE)), 0))</f>
        <v>0</v>
      </c>
      <c r="Q272" s="67"/>
    </row>
    <row r="273" spans="1:17" ht="18" customHeight="1" x14ac:dyDescent="0.35">
      <c r="A273" s="28"/>
      <c r="B273" s="26" t="str">
        <f>'💳 Debt Input'!$A$5</f>
        <v>Medical Bill</v>
      </c>
      <c r="C273" s="27">
        <f t="shared" ref="C273:C336" si="19">F267</f>
        <v>0</v>
      </c>
      <c r="D273" s="27">
        <f>ROUND(C273*'💳 Debt Input'!$C$5/12,2)</f>
        <v>0</v>
      </c>
      <c r="E273" s="27">
        <f>IF(B273="", "", MIN(C273+D273, MAX(P273, $F$3 - SUMIFS(E$10:E272, O$10:O272, O273) - SUMIFS(P274:P$1995, O274:O$1995, O273))))</f>
        <v>0</v>
      </c>
      <c r="F273" s="27">
        <f t="shared" si="16"/>
        <v>0</v>
      </c>
      <c r="G273" s="28" t="str">
        <f t="shared" si="17"/>
        <v>Paid off</v>
      </c>
      <c r="H273" s="29"/>
      <c r="J273" s="67"/>
      <c r="K273" s="67"/>
      <c r="L273" s="67"/>
      <c r="M273" s="67"/>
      <c r="N273" s="67"/>
      <c r="O273" s="67">
        <f t="shared" si="18"/>
        <v>44</v>
      </c>
      <c r="P273" s="67">
        <f>IF(B273="", 0, IFERROR(MIN(C273+D273, VLOOKUP(B273, '💳 Debt Input'!$A:$G, 4, FALSE)), 0))</f>
        <v>0</v>
      </c>
      <c r="Q273" s="67"/>
    </row>
    <row r="274" spans="1:17" ht="18" customHeight="1" x14ac:dyDescent="0.35">
      <c r="A274" s="28"/>
      <c r="B274" s="26" t="str">
        <f>'💳 Debt Input'!$A$4</f>
        <v>Store Card</v>
      </c>
      <c r="C274" s="27">
        <f t="shared" si="19"/>
        <v>0</v>
      </c>
      <c r="D274" s="27">
        <f>ROUND(C274*'💳 Debt Input'!$C$4/12,2)</f>
        <v>0</v>
      </c>
      <c r="E274" s="27">
        <f>IF(B274="", "", MIN(C274+D274, MAX(P274, $F$3 - SUMIFS(E$10:E273, O$10:O273, O274) - SUMIFS(P275:P$1995, O275:O$1995, O274))))</f>
        <v>0</v>
      </c>
      <c r="F274" s="27">
        <f t="shared" si="16"/>
        <v>0</v>
      </c>
      <c r="G274" s="28" t="str">
        <f t="shared" si="17"/>
        <v>Paid off</v>
      </c>
      <c r="H274" s="29"/>
      <c r="J274" s="67"/>
      <c r="K274" s="67"/>
      <c r="L274" s="67"/>
      <c r="M274" s="67"/>
      <c r="N274" s="67"/>
      <c r="O274" s="67">
        <f t="shared" si="18"/>
        <v>44</v>
      </c>
      <c r="P274" s="67">
        <f>IF(B274="", 0, IFERROR(MIN(C274+D274, VLOOKUP(B274, '💳 Debt Input'!$A:$G, 4, FALSE)), 0))</f>
        <v>0</v>
      </c>
      <c r="Q274" s="67"/>
    </row>
    <row r="275" spans="1:17" ht="18" customHeight="1" x14ac:dyDescent="0.35">
      <c r="A275" s="24">
        <v>45</v>
      </c>
      <c r="B275" s="8" t="str">
        <f>'💳 Debt Input'!$A$9</f>
        <v>Rewards Visa</v>
      </c>
      <c r="C275" s="10">
        <f t="shared" si="19"/>
        <v>8442.65</v>
      </c>
      <c r="D275" s="10">
        <f>ROUND(C275*'💳 Debt Input'!$C$9/12,2)</f>
        <v>253.28</v>
      </c>
      <c r="E275" s="10">
        <f>IF(B275="", "", MIN(C275+D275, MAX(P275, $F$3 - SUMIFS(E$10:E274, O$10:O274, O275) - SUMIFS(P276:P$1995, O276:O$1995, O275))))</f>
        <v>740</v>
      </c>
      <c r="F275" s="10">
        <f t="shared" si="16"/>
        <v>7955.93</v>
      </c>
      <c r="G275" s="19" t="str">
        <f t="shared" si="17"/>
        <v>Active</v>
      </c>
      <c r="H275" s="20"/>
      <c r="J275" s="67"/>
      <c r="K275" s="67"/>
      <c r="L275" s="67"/>
      <c r="M275" s="67"/>
      <c r="N275" s="67"/>
      <c r="O275" s="67">
        <f t="shared" si="18"/>
        <v>45</v>
      </c>
      <c r="P275" s="67">
        <f>IF(B275="", 0, IFERROR(MIN(C275+D275, VLOOKUP(B275, '💳 Debt Input'!$A:$G, 4, FALSE)), 0))</f>
        <v>480</v>
      </c>
      <c r="Q275" s="67"/>
    </row>
    <row r="276" spans="1:17" ht="18" customHeight="1" x14ac:dyDescent="0.35">
      <c r="A276" s="19"/>
      <c r="B276" s="8" t="str">
        <f>'💳 Debt Input'!$A$8</f>
        <v>Travel Card</v>
      </c>
      <c r="C276" s="10">
        <f t="shared" si="19"/>
        <v>672.04</v>
      </c>
      <c r="D276" s="10">
        <f>ROUND(C276*'💳 Debt Input'!$C$8/12,2)</f>
        <v>10.08</v>
      </c>
      <c r="E276" s="10">
        <f>IF(B276="", "", MIN(C276+D276, MAX(P276, $F$3 - SUMIFS(E$10:E275, O$10:O275, O276) - SUMIFS(P277:P$1995, O277:O$1995, O276))))</f>
        <v>270</v>
      </c>
      <c r="F276" s="10">
        <f t="shared" si="16"/>
        <v>412.12</v>
      </c>
      <c r="G276" s="19" t="str">
        <f t="shared" si="17"/>
        <v>Active</v>
      </c>
      <c r="H276" s="20"/>
      <c r="J276" s="67"/>
      <c r="K276" s="67"/>
      <c r="L276" s="67"/>
      <c r="M276" s="67"/>
      <c r="N276" s="67"/>
      <c r="O276" s="67">
        <f t="shared" si="18"/>
        <v>45</v>
      </c>
      <c r="P276" s="67">
        <f>IF(B276="", 0, IFERROR(MIN(C276+D276, VLOOKUP(B276, '💳 Debt Input'!$A:$G, 4, FALSE)), 0))</f>
        <v>270</v>
      </c>
      <c r="Q276" s="67"/>
    </row>
    <row r="277" spans="1:17" ht="18" customHeight="1" x14ac:dyDescent="0.35">
      <c r="A277" s="28"/>
      <c r="B277" s="26" t="str">
        <f>'💳 Debt Input'!$A$7</f>
        <v>Auto Loan</v>
      </c>
      <c r="C277" s="27">
        <f t="shared" si="19"/>
        <v>0</v>
      </c>
      <c r="D277" s="27">
        <f>ROUND(C277*'💳 Debt Input'!$C$7/12,2)</f>
        <v>0</v>
      </c>
      <c r="E277" s="27">
        <f>IF(B277="", "", MIN(C277+D277, MAX(P277, $F$3 - SUMIFS(E$10:E276, O$10:O276, O277) - SUMIFS(P278:P$1995, O278:O$1995, O277))))</f>
        <v>0</v>
      </c>
      <c r="F277" s="27">
        <f t="shared" si="16"/>
        <v>0</v>
      </c>
      <c r="G277" s="28" t="str">
        <f t="shared" si="17"/>
        <v>Paid off</v>
      </c>
      <c r="H277" s="29"/>
      <c r="J277" s="67"/>
      <c r="K277" s="67"/>
      <c r="L277" s="67"/>
      <c r="M277" s="67"/>
      <c r="N277" s="67"/>
      <c r="O277" s="67">
        <f t="shared" si="18"/>
        <v>45</v>
      </c>
      <c r="P277" s="67">
        <f>IF(B277="", 0, IFERROR(MIN(C277+D277, VLOOKUP(B277, '💳 Debt Input'!$A:$G, 4, FALSE)), 0))</f>
        <v>0</v>
      </c>
      <c r="Q277" s="67"/>
    </row>
    <row r="278" spans="1:17" ht="18" customHeight="1" x14ac:dyDescent="0.35">
      <c r="A278" s="28"/>
      <c r="B278" s="26" t="str">
        <f>'💳 Debt Input'!$A$6</f>
        <v>Personal Loan</v>
      </c>
      <c r="C278" s="27">
        <f t="shared" si="19"/>
        <v>0</v>
      </c>
      <c r="D278" s="27">
        <f>ROUND(C278*'💳 Debt Input'!$C$6/12,2)</f>
        <v>0</v>
      </c>
      <c r="E278" s="27">
        <f>IF(B278="", "", MIN(C278+D278, MAX(P278, $F$3 - SUMIFS(E$10:E277, O$10:O277, O278) - SUMIFS(P279:P$1995, O279:O$1995, O278))))</f>
        <v>0</v>
      </c>
      <c r="F278" s="27">
        <f t="shared" si="16"/>
        <v>0</v>
      </c>
      <c r="G278" s="28" t="str">
        <f t="shared" si="17"/>
        <v>Paid off</v>
      </c>
      <c r="H278" s="29"/>
      <c r="J278" s="67"/>
      <c r="K278" s="67"/>
      <c r="L278" s="67"/>
      <c r="M278" s="67"/>
      <c r="N278" s="67"/>
      <c r="O278" s="67">
        <f t="shared" si="18"/>
        <v>45</v>
      </c>
      <c r="P278" s="67">
        <f>IF(B278="", 0, IFERROR(MIN(C278+D278, VLOOKUP(B278, '💳 Debt Input'!$A:$G, 4, FALSE)), 0))</f>
        <v>0</v>
      </c>
      <c r="Q278" s="67"/>
    </row>
    <row r="279" spans="1:17" ht="18" customHeight="1" x14ac:dyDescent="0.35">
      <c r="A279" s="28"/>
      <c r="B279" s="26" t="str">
        <f>'💳 Debt Input'!$A$5</f>
        <v>Medical Bill</v>
      </c>
      <c r="C279" s="27">
        <f t="shared" si="19"/>
        <v>0</v>
      </c>
      <c r="D279" s="27">
        <f>ROUND(C279*'💳 Debt Input'!$C$5/12,2)</f>
        <v>0</v>
      </c>
      <c r="E279" s="27">
        <f>IF(B279="", "", MIN(C279+D279, MAX(P279, $F$3 - SUMIFS(E$10:E278, O$10:O278, O279) - SUMIFS(P280:P$1995, O280:O$1995, O279))))</f>
        <v>0</v>
      </c>
      <c r="F279" s="27">
        <f t="shared" si="16"/>
        <v>0</v>
      </c>
      <c r="G279" s="28" t="str">
        <f t="shared" si="17"/>
        <v>Paid off</v>
      </c>
      <c r="H279" s="29"/>
      <c r="J279" s="67"/>
      <c r="K279" s="67"/>
      <c r="L279" s="67"/>
      <c r="M279" s="67"/>
      <c r="N279" s="67"/>
      <c r="O279" s="67">
        <f t="shared" si="18"/>
        <v>45</v>
      </c>
      <c r="P279" s="67">
        <f>IF(B279="", 0, IFERROR(MIN(C279+D279, VLOOKUP(B279, '💳 Debt Input'!$A:$G, 4, FALSE)), 0))</f>
        <v>0</v>
      </c>
      <c r="Q279" s="67"/>
    </row>
    <row r="280" spans="1:17" ht="18" customHeight="1" x14ac:dyDescent="0.35">
      <c r="A280" s="28"/>
      <c r="B280" s="26" t="str">
        <f>'💳 Debt Input'!$A$4</f>
        <v>Store Card</v>
      </c>
      <c r="C280" s="27">
        <f t="shared" si="19"/>
        <v>0</v>
      </c>
      <c r="D280" s="27">
        <f>ROUND(C280*'💳 Debt Input'!$C$4/12,2)</f>
        <v>0</v>
      </c>
      <c r="E280" s="27">
        <f>IF(B280="", "", MIN(C280+D280, MAX(P280, $F$3 - SUMIFS(E$10:E279, O$10:O279, O280) - SUMIFS(P281:P$1995, O281:O$1995, O280))))</f>
        <v>0</v>
      </c>
      <c r="F280" s="27">
        <f t="shared" si="16"/>
        <v>0</v>
      </c>
      <c r="G280" s="28" t="str">
        <f t="shared" si="17"/>
        <v>Paid off</v>
      </c>
      <c r="H280" s="29"/>
      <c r="J280" s="67"/>
      <c r="K280" s="67"/>
      <c r="L280" s="67"/>
      <c r="M280" s="67"/>
      <c r="N280" s="67"/>
      <c r="O280" s="67">
        <f t="shared" si="18"/>
        <v>45</v>
      </c>
      <c r="P280" s="67">
        <f>IF(B280="", 0, IFERROR(MIN(C280+D280, VLOOKUP(B280, '💳 Debt Input'!$A:$G, 4, FALSE)), 0))</f>
        <v>0</v>
      </c>
      <c r="Q280" s="67"/>
    </row>
    <row r="281" spans="1:17" ht="18" customHeight="1" x14ac:dyDescent="0.35">
      <c r="A281" s="21">
        <v>46</v>
      </c>
      <c r="B281" s="6" t="str">
        <f>'💳 Debt Input'!$A$9</f>
        <v>Rewards Visa</v>
      </c>
      <c r="C281" s="12">
        <f t="shared" si="19"/>
        <v>7955.93</v>
      </c>
      <c r="D281" s="12">
        <f>ROUND(C281*'💳 Debt Input'!$C$9/12,2)</f>
        <v>238.68</v>
      </c>
      <c r="E281" s="12">
        <f>IF(B281="", "", MIN(C281+D281, MAX(P281, $F$3 - SUMIFS(E$10:E280, O$10:O280, O281) - SUMIFS(P282:P$1995, O282:O$1995, O281))))</f>
        <v>740</v>
      </c>
      <c r="F281" s="12">
        <f t="shared" si="16"/>
        <v>7454.61</v>
      </c>
      <c r="G281" s="22" t="str">
        <f t="shared" si="17"/>
        <v>Active</v>
      </c>
      <c r="H281" s="23"/>
      <c r="J281" s="67"/>
      <c r="K281" s="67"/>
      <c r="L281" s="67"/>
      <c r="M281" s="67"/>
      <c r="N281" s="67"/>
      <c r="O281" s="67">
        <f t="shared" si="18"/>
        <v>46</v>
      </c>
      <c r="P281" s="67">
        <f>IF(B281="", 0, IFERROR(MIN(C281+D281, VLOOKUP(B281, '💳 Debt Input'!$A:$G, 4, FALSE)), 0))</f>
        <v>480</v>
      </c>
      <c r="Q281" s="67"/>
    </row>
    <row r="282" spans="1:17" ht="18" customHeight="1" x14ac:dyDescent="0.35">
      <c r="A282" s="22"/>
      <c r="B282" s="6" t="str">
        <f>'💳 Debt Input'!$A$8</f>
        <v>Travel Card</v>
      </c>
      <c r="C282" s="12">
        <f t="shared" si="19"/>
        <v>412.12</v>
      </c>
      <c r="D282" s="12">
        <f>ROUND(C282*'💳 Debt Input'!$C$8/12,2)</f>
        <v>6.18</v>
      </c>
      <c r="E282" s="12">
        <f>IF(B282="", "", MIN(C282+D282, MAX(P282, $F$3 - SUMIFS(E$10:E281, O$10:O281, O282) - SUMIFS(P283:P$1995, O283:O$1995, O282))))</f>
        <v>270</v>
      </c>
      <c r="F282" s="12">
        <f t="shared" si="16"/>
        <v>148.30000000000001</v>
      </c>
      <c r="G282" s="22" t="str">
        <f t="shared" si="17"/>
        <v>Active</v>
      </c>
      <c r="H282" s="23"/>
      <c r="J282" s="67"/>
      <c r="K282" s="67"/>
      <c r="L282" s="67"/>
      <c r="M282" s="67"/>
      <c r="N282" s="67"/>
      <c r="O282" s="67">
        <f t="shared" si="18"/>
        <v>46</v>
      </c>
      <c r="P282" s="67">
        <f>IF(B282="", 0, IFERROR(MIN(C282+D282, VLOOKUP(B282, '💳 Debt Input'!$A:$G, 4, FALSE)), 0))</f>
        <v>270</v>
      </c>
      <c r="Q282" s="67"/>
    </row>
    <row r="283" spans="1:17" ht="18" customHeight="1" x14ac:dyDescent="0.35">
      <c r="A283" s="28"/>
      <c r="B283" s="26" t="str">
        <f>'💳 Debt Input'!$A$7</f>
        <v>Auto Loan</v>
      </c>
      <c r="C283" s="27">
        <f t="shared" si="19"/>
        <v>0</v>
      </c>
      <c r="D283" s="27">
        <f>ROUND(C283*'💳 Debt Input'!$C$7/12,2)</f>
        <v>0</v>
      </c>
      <c r="E283" s="27">
        <f>IF(B283="", "", MIN(C283+D283, MAX(P283, $F$3 - SUMIFS(E$10:E282, O$10:O282, O283) - SUMIFS(P284:P$1995, O284:O$1995, O283))))</f>
        <v>0</v>
      </c>
      <c r="F283" s="27">
        <f t="shared" si="16"/>
        <v>0</v>
      </c>
      <c r="G283" s="28" t="str">
        <f t="shared" si="17"/>
        <v>Paid off</v>
      </c>
      <c r="H283" s="29"/>
      <c r="J283" s="67"/>
      <c r="K283" s="67"/>
      <c r="L283" s="67"/>
      <c r="M283" s="67"/>
      <c r="N283" s="67"/>
      <c r="O283" s="67">
        <f t="shared" si="18"/>
        <v>46</v>
      </c>
      <c r="P283" s="67">
        <f>IF(B283="", 0, IFERROR(MIN(C283+D283, VLOOKUP(B283, '💳 Debt Input'!$A:$G, 4, FALSE)), 0))</f>
        <v>0</v>
      </c>
      <c r="Q283" s="67"/>
    </row>
    <row r="284" spans="1:17" ht="18" customHeight="1" x14ac:dyDescent="0.35">
      <c r="A284" s="28"/>
      <c r="B284" s="26" t="str">
        <f>'💳 Debt Input'!$A$6</f>
        <v>Personal Loan</v>
      </c>
      <c r="C284" s="27">
        <f t="shared" si="19"/>
        <v>0</v>
      </c>
      <c r="D284" s="27">
        <f>ROUND(C284*'💳 Debt Input'!$C$6/12,2)</f>
        <v>0</v>
      </c>
      <c r="E284" s="27">
        <f>IF(B284="", "", MIN(C284+D284, MAX(P284, $F$3 - SUMIFS(E$10:E283, O$10:O283, O284) - SUMIFS(P285:P$1995, O285:O$1995, O284))))</f>
        <v>0</v>
      </c>
      <c r="F284" s="27">
        <f t="shared" si="16"/>
        <v>0</v>
      </c>
      <c r="G284" s="28" t="str">
        <f t="shared" si="17"/>
        <v>Paid off</v>
      </c>
      <c r="H284" s="29"/>
      <c r="J284" s="67"/>
      <c r="K284" s="67"/>
      <c r="L284" s="67"/>
      <c r="M284" s="67"/>
      <c r="N284" s="67"/>
      <c r="O284" s="67">
        <f t="shared" si="18"/>
        <v>46</v>
      </c>
      <c r="P284" s="67">
        <f>IF(B284="", 0, IFERROR(MIN(C284+D284, VLOOKUP(B284, '💳 Debt Input'!$A:$G, 4, FALSE)), 0))</f>
        <v>0</v>
      </c>
      <c r="Q284" s="67"/>
    </row>
    <row r="285" spans="1:17" ht="18" customHeight="1" x14ac:dyDescent="0.35">
      <c r="A285" s="28"/>
      <c r="B285" s="26" t="str">
        <f>'💳 Debt Input'!$A$5</f>
        <v>Medical Bill</v>
      </c>
      <c r="C285" s="27">
        <f t="shared" si="19"/>
        <v>0</v>
      </c>
      <c r="D285" s="27">
        <f>ROUND(C285*'💳 Debt Input'!$C$5/12,2)</f>
        <v>0</v>
      </c>
      <c r="E285" s="27">
        <f>IF(B285="", "", MIN(C285+D285, MAX(P285, $F$3 - SUMIFS(E$10:E284, O$10:O284, O285) - SUMIFS(P286:P$1995, O286:O$1995, O285))))</f>
        <v>0</v>
      </c>
      <c r="F285" s="27">
        <f t="shared" si="16"/>
        <v>0</v>
      </c>
      <c r="G285" s="28" t="str">
        <f t="shared" si="17"/>
        <v>Paid off</v>
      </c>
      <c r="H285" s="29"/>
      <c r="J285" s="67"/>
      <c r="K285" s="67"/>
      <c r="L285" s="67"/>
      <c r="M285" s="67"/>
      <c r="N285" s="67"/>
      <c r="O285" s="67">
        <f t="shared" si="18"/>
        <v>46</v>
      </c>
      <c r="P285" s="67">
        <f>IF(B285="", 0, IFERROR(MIN(C285+D285, VLOOKUP(B285, '💳 Debt Input'!$A:$G, 4, FALSE)), 0))</f>
        <v>0</v>
      </c>
      <c r="Q285" s="67"/>
    </row>
    <row r="286" spans="1:17" ht="18" customHeight="1" x14ac:dyDescent="0.35">
      <c r="A286" s="28"/>
      <c r="B286" s="26" t="str">
        <f>'💳 Debt Input'!$A$4</f>
        <v>Store Card</v>
      </c>
      <c r="C286" s="27">
        <f t="shared" si="19"/>
        <v>0</v>
      </c>
      <c r="D286" s="27">
        <f>ROUND(C286*'💳 Debt Input'!$C$4/12,2)</f>
        <v>0</v>
      </c>
      <c r="E286" s="27">
        <f>IF(B286="", "", MIN(C286+D286, MAX(P286, $F$3 - SUMIFS(E$10:E285, O$10:O285, O286) - SUMIFS(P287:P$1995, O287:O$1995, O286))))</f>
        <v>0</v>
      </c>
      <c r="F286" s="27">
        <f t="shared" si="16"/>
        <v>0</v>
      </c>
      <c r="G286" s="28" t="str">
        <f t="shared" si="17"/>
        <v>Paid off</v>
      </c>
      <c r="H286" s="29"/>
      <c r="J286" s="67"/>
      <c r="K286" s="67"/>
      <c r="L286" s="67"/>
      <c r="M286" s="67"/>
      <c r="N286" s="67"/>
      <c r="O286" s="67">
        <f t="shared" si="18"/>
        <v>46</v>
      </c>
      <c r="P286" s="67">
        <f>IF(B286="", 0, IFERROR(MIN(C286+D286, VLOOKUP(B286, '💳 Debt Input'!$A:$G, 4, FALSE)), 0))</f>
        <v>0</v>
      </c>
      <c r="Q286" s="67"/>
    </row>
    <row r="287" spans="1:17" ht="18" customHeight="1" x14ac:dyDescent="0.35">
      <c r="A287" s="24">
        <v>47</v>
      </c>
      <c r="B287" s="8" t="str">
        <f>'💳 Debt Input'!$A$9</f>
        <v>Rewards Visa</v>
      </c>
      <c r="C287" s="10">
        <f t="shared" si="19"/>
        <v>7454.61</v>
      </c>
      <c r="D287" s="10">
        <f>ROUND(C287*'💳 Debt Input'!$C$9/12,2)</f>
        <v>223.64</v>
      </c>
      <c r="E287" s="10">
        <f>IF(B287="", "", MIN(C287+D287, MAX(P287, $F$3 - SUMIFS(E$10:E286, O$10:O286, O287) - SUMIFS(P288:P$1995, O288:O$1995, O287))))</f>
        <v>859.48</v>
      </c>
      <c r="F287" s="10">
        <f t="shared" si="16"/>
        <v>6818.77</v>
      </c>
      <c r="G287" s="19" t="str">
        <f t="shared" si="17"/>
        <v>Active</v>
      </c>
      <c r="H287" s="20"/>
      <c r="J287" s="67"/>
      <c r="K287" s="67"/>
      <c r="L287" s="67"/>
      <c r="M287" s="67"/>
      <c r="N287" s="67"/>
      <c r="O287" s="67">
        <f t="shared" si="18"/>
        <v>47</v>
      </c>
      <c r="P287" s="67">
        <f>IF(B287="", 0, IFERROR(MIN(C287+D287, VLOOKUP(B287, '💳 Debt Input'!$A:$G, 4, FALSE)), 0))</f>
        <v>480</v>
      </c>
      <c r="Q287" s="67"/>
    </row>
    <row r="288" spans="1:17" ht="18" customHeight="1" x14ac:dyDescent="0.35">
      <c r="A288" s="28"/>
      <c r="B288" s="26" t="str">
        <f>'💳 Debt Input'!$A$8</f>
        <v>Travel Card</v>
      </c>
      <c r="C288" s="27">
        <f t="shared" si="19"/>
        <v>148.30000000000001</v>
      </c>
      <c r="D288" s="27">
        <f>ROUND(C288*'💳 Debt Input'!$C$8/12,2)</f>
        <v>2.2200000000000002</v>
      </c>
      <c r="E288" s="27">
        <f>IF(B288="", "", MIN(C288+D288, MAX(P288, $F$3 - SUMIFS(E$10:E287, O$10:O287, O288) - SUMIFS(P289:P$1995, O289:O$1995, O288))))</f>
        <v>150.52000000000001</v>
      </c>
      <c r="F288" s="27">
        <f t="shared" si="16"/>
        <v>0</v>
      </c>
      <c r="G288" s="28" t="str">
        <f t="shared" si="17"/>
        <v>Paid off</v>
      </c>
      <c r="H288" s="26"/>
      <c r="J288" s="67"/>
      <c r="K288" s="67"/>
      <c r="L288" s="67"/>
      <c r="M288" s="67"/>
      <c r="N288" s="67"/>
      <c r="O288" s="67">
        <f t="shared" si="18"/>
        <v>47</v>
      </c>
      <c r="P288" s="67">
        <f>IF(B288="", 0, IFERROR(MIN(C288+D288, VLOOKUP(B288, '💳 Debt Input'!$A:$G, 4, FALSE)), 0))</f>
        <v>150.52000000000001</v>
      </c>
      <c r="Q288" s="67"/>
    </row>
    <row r="289" spans="1:17" ht="18" customHeight="1" x14ac:dyDescent="0.35">
      <c r="A289" s="28"/>
      <c r="B289" s="26" t="str">
        <f>'💳 Debt Input'!$A$7</f>
        <v>Auto Loan</v>
      </c>
      <c r="C289" s="27">
        <f t="shared" si="19"/>
        <v>0</v>
      </c>
      <c r="D289" s="27">
        <f>ROUND(C289*'💳 Debt Input'!$C$7/12,2)</f>
        <v>0</v>
      </c>
      <c r="E289" s="27">
        <f>IF(B289="", "", MIN(C289+D289, MAX(P289, $F$3 - SUMIFS(E$10:E288, O$10:O288, O289) - SUMIFS(P290:P$1995, O290:O$1995, O289))))</f>
        <v>0</v>
      </c>
      <c r="F289" s="27">
        <f t="shared" si="16"/>
        <v>0</v>
      </c>
      <c r="G289" s="28" t="str">
        <f t="shared" si="17"/>
        <v>Paid off</v>
      </c>
      <c r="H289" s="29"/>
      <c r="J289" s="67"/>
      <c r="K289" s="67"/>
      <c r="L289" s="67"/>
      <c r="M289" s="67"/>
      <c r="N289" s="67"/>
      <c r="O289" s="67">
        <f t="shared" si="18"/>
        <v>47</v>
      </c>
      <c r="P289" s="67">
        <f>IF(B289="", 0, IFERROR(MIN(C289+D289, VLOOKUP(B289, '💳 Debt Input'!$A:$G, 4, FALSE)), 0))</f>
        <v>0</v>
      </c>
      <c r="Q289" s="67"/>
    </row>
    <row r="290" spans="1:17" ht="18" customHeight="1" x14ac:dyDescent="0.35">
      <c r="A290" s="28"/>
      <c r="B290" s="26" t="str">
        <f>'💳 Debt Input'!$A$6</f>
        <v>Personal Loan</v>
      </c>
      <c r="C290" s="27">
        <f t="shared" si="19"/>
        <v>0</v>
      </c>
      <c r="D290" s="27">
        <f>ROUND(C290*'💳 Debt Input'!$C$6/12,2)</f>
        <v>0</v>
      </c>
      <c r="E290" s="27">
        <f>IF(B290="", "", MIN(C290+D290, MAX(P290, $F$3 - SUMIFS(E$10:E289, O$10:O289, O290) - SUMIFS(P291:P$1995, O291:O$1995, O290))))</f>
        <v>0</v>
      </c>
      <c r="F290" s="27">
        <f t="shared" si="16"/>
        <v>0</v>
      </c>
      <c r="G290" s="28" t="str">
        <f t="shared" si="17"/>
        <v>Paid off</v>
      </c>
      <c r="H290" s="29"/>
      <c r="J290" s="67"/>
      <c r="K290" s="67"/>
      <c r="L290" s="67"/>
      <c r="M290" s="67"/>
      <c r="N290" s="67"/>
      <c r="O290" s="67">
        <f t="shared" si="18"/>
        <v>47</v>
      </c>
      <c r="P290" s="67">
        <f>IF(B290="", 0, IFERROR(MIN(C290+D290, VLOOKUP(B290, '💳 Debt Input'!$A:$G, 4, FALSE)), 0))</f>
        <v>0</v>
      </c>
      <c r="Q290" s="67"/>
    </row>
    <row r="291" spans="1:17" ht="18" customHeight="1" x14ac:dyDescent="0.35">
      <c r="A291" s="28"/>
      <c r="B291" s="26" t="str">
        <f>'💳 Debt Input'!$A$5</f>
        <v>Medical Bill</v>
      </c>
      <c r="C291" s="27">
        <f t="shared" si="19"/>
        <v>0</v>
      </c>
      <c r="D291" s="27">
        <f>ROUND(C291*'💳 Debt Input'!$C$5/12,2)</f>
        <v>0</v>
      </c>
      <c r="E291" s="27">
        <f>IF(B291="", "", MIN(C291+D291, MAX(P291, $F$3 - SUMIFS(E$10:E290, O$10:O290, O291) - SUMIFS(P292:P$1995, O292:O$1995, O291))))</f>
        <v>0</v>
      </c>
      <c r="F291" s="27">
        <f t="shared" si="16"/>
        <v>0</v>
      </c>
      <c r="G291" s="28" t="str">
        <f t="shared" si="17"/>
        <v>Paid off</v>
      </c>
      <c r="H291" s="29"/>
      <c r="J291" s="67"/>
      <c r="K291" s="67"/>
      <c r="L291" s="67"/>
      <c r="M291" s="67"/>
      <c r="N291" s="67"/>
      <c r="O291" s="67">
        <f t="shared" si="18"/>
        <v>47</v>
      </c>
      <c r="P291" s="67">
        <f>IF(B291="", 0, IFERROR(MIN(C291+D291, VLOOKUP(B291, '💳 Debt Input'!$A:$G, 4, FALSE)), 0))</f>
        <v>0</v>
      </c>
      <c r="Q291" s="67"/>
    </row>
    <row r="292" spans="1:17" ht="18" customHeight="1" x14ac:dyDescent="0.35">
      <c r="A292" s="28"/>
      <c r="B292" s="26" t="str">
        <f>'💳 Debt Input'!$A$4</f>
        <v>Store Card</v>
      </c>
      <c r="C292" s="27">
        <f t="shared" si="19"/>
        <v>0</v>
      </c>
      <c r="D292" s="27">
        <f>ROUND(C292*'💳 Debt Input'!$C$4/12,2)</f>
        <v>0</v>
      </c>
      <c r="E292" s="27">
        <f>IF(B292="", "", MIN(C292+D292, MAX(P292, $F$3 - SUMIFS(E$10:E291, O$10:O291, O292) - SUMIFS(P293:P$1995, O293:O$1995, O292))))</f>
        <v>0</v>
      </c>
      <c r="F292" s="27">
        <f t="shared" si="16"/>
        <v>0</v>
      </c>
      <c r="G292" s="28" t="str">
        <f t="shared" si="17"/>
        <v>Paid off</v>
      </c>
      <c r="H292" s="29"/>
      <c r="J292" s="67"/>
      <c r="K292" s="67"/>
      <c r="L292" s="67"/>
      <c r="M292" s="67"/>
      <c r="N292" s="67"/>
      <c r="O292" s="67">
        <f t="shared" si="18"/>
        <v>47</v>
      </c>
      <c r="P292" s="67">
        <f>IF(B292="", 0, IFERROR(MIN(C292+D292, VLOOKUP(B292, '💳 Debt Input'!$A:$G, 4, FALSE)), 0))</f>
        <v>0</v>
      </c>
      <c r="Q292" s="67"/>
    </row>
    <row r="293" spans="1:17" ht="18" customHeight="1" x14ac:dyDescent="0.35">
      <c r="A293" s="21">
        <v>48</v>
      </c>
      <c r="B293" s="6" t="str">
        <f>'💳 Debt Input'!$A$9</f>
        <v>Rewards Visa</v>
      </c>
      <c r="C293" s="12">
        <f t="shared" si="19"/>
        <v>6818.77</v>
      </c>
      <c r="D293" s="12">
        <f>ROUND(C293*'💳 Debt Input'!$C$9/12,2)</f>
        <v>204.56</v>
      </c>
      <c r="E293" s="12">
        <f>IF(B293="", "", MIN(C293+D293, MAX(P293, $F$3 - SUMIFS(E$10:E292, O$10:O292, O293) - SUMIFS(P294:P$1995, O294:O$1995, O293))))</f>
        <v>1010</v>
      </c>
      <c r="F293" s="12">
        <f t="shared" si="16"/>
        <v>6013.33</v>
      </c>
      <c r="G293" s="22" t="str">
        <f t="shared" si="17"/>
        <v>Active</v>
      </c>
      <c r="H293" s="23"/>
      <c r="J293" s="67"/>
      <c r="K293" s="67"/>
      <c r="L293" s="67"/>
      <c r="M293" s="67"/>
      <c r="N293" s="67"/>
      <c r="O293" s="67">
        <f t="shared" si="18"/>
        <v>48</v>
      </c>
      <c r="P293" s="67">
        <f>IF(B293="", 0, IFERROR(MIN(C293+D293, VLOOKUP(B293, '💳 Debt Input'!$A:$G, 4, FALSE)), 0))</f>
        <v>480</v>
      </c>
      <c r="Q293" s="67"/>
    </row>
    <row r="294" spans="1:17" ht="18" customHeight="1" x14ac:dyDescent="0.35">
      <c r="A294" s="28"/>
      <c r="B294" s="26" t="str">
        <f>'💳 Debt Input'!$A$8</f>
        <v>Travel Card</v>
      </c>
      <c r="C294" s="27">
        <f t="shared" si="19"/>
        <v>0</v>
      </c>
      <c r="D294" s="27">
        <f>ROUND(C294*'💳 Debt Input'!$C$8/12,2)</f>
        <v>0</v>
      </c>
      <c r="E294" s="27">
        <f>IF(B294="", "", MIN(C294+D294, MAX(P294, $F$3 - SUMIFS(E$10:E293, O$10:O293, O294) - SUMIFS(P295:P$1995, O295:O$1995, O294))))</f>
        <v>0</v>
      </c>
      <c r="F294" s="27">
        <f t="shared" si="16"/>
        <v>0</v>
      </c>
      <c r="G294" s="28" t="str">
        <f t="shared" si="17"/>
        <v>Paid off</v>
      </c>
      <c r="H294" s="29"/>
      <c r="J294" s="67"/>
      <c r="K294" s="67"/>
      <c r="L294" s="67"/>
      <c r="M294" s="67"/>
      <c r="N294" s="67"/>
      <c r="O294" s="67">
        <f t="shared" si="18"/>
        <v>48</v>
      </c>
      <c r="P294" s="67">
        <f>IF(B294="", 0, IFERROR(MIN(C294+D294, VLOOKUP(B294, '💳 Debt Input'!$A:$G, 4, FALSE)), 0))</f>
        <v>0</v>
      </c>
      <c r="Q294" s="67"/>
    </row>
    <row r="295" spans="1:17" ht="18" customHeight="1" x14ac:dyDescent="0.35">
      <c r="A295" s="28"/>
      <c r="B295" s="26" t="str">
        <f>'💳 Debt Input'!$A$7</f>
        <v>Auto Loan</v>
      </c>
      <c r="C295" s="27">
        <f t="shared" si="19"/>
        <v>0</v>
      </c>
      <c r="D295" s="27">
        <f>ROUND(C295*'💳 Debt Input'!$C$7/12,2)</f>
        <v>0</v>
      </c>
      <c r="E295" s="27">
        <f>IF(B295="", "", MIN(C295+D295, MAX(P295, $F$3 - SUMIFS(E$10:E294, O$10:O294, O295) - SUMIFS(P296:P$1995, O296:O$1995, O295))))</f>
        <v>0</v>
      </c>
      <c r="F295" s="27">
        <f t="shared" si="16"/>
        <v>0</v>
      </c>
      <c r="G295" s="28" t="str">
        <f t="shared" si="17"/>
        <v>Paid off</v>
      </c>
      <c r="H295" s="29"/>
      <c r="J295" s="67"/>
      <c r="K295" s="67"/>
      <c r="L295" s="67"/>
      <c r="M295" s="67"/>
      <c r="N295" s="67"/>
      <c r="O295" s="67">
        <f t="shared" si="18"/>
        <v>48</v>
      </c>
      <c r="P295" s="67">
        <f>IF(B295="", 0, IFERROR(MIN(C295+D295, VLOOKUP(B295, '💳 Debt Input'!$A:$G, 4, FALSE)), 0))</f>
        <v>0</v>
      </c>
      <c r="Q295" s="67"/>
    </row>
    <row r="296" spans="1:17" ht="18" customHeight="1" x14ac:dyDescent="0.35">
      <c r="A296" s="28"/>
      <c r="B296" s="26" t="str">
        <f>'💳 Debt Input'!$A$6</f>
        <v>Personal Loan</v>
      </c>
      <c r="C296" s="27">
        <f t="shared" si="19"/>
        <v>0</v>
      </c>
      <c r="D296" s="27">
        <f>ROUND(C296*'💳 Debt Input'!$C$6/12,2)</f>
        <v>0</v>
      </c>
      <c r="E296" s="27">
        <f>IF(B296="", "", MIN(C296+D296, MAX(P296, $F$3 - SUMIFS(E$10:E295, O$10:O295, O296) - SUMIFS(P297:P$1995, O297:O$1995, O296))))</f>
        <v>0</v>
      </c>
      <c r="F296" s="27">
        <f t="shared" si="16"/>
        <v>0</v>
      </c>
      <c r="G296" s="28" t="str">
        <f t="shared" si="17"/>
        <v>Paid off</v>
      </c>
      <c r="H296" s="29"/>
      <c r="J296" s="67"/>
      <c r="K296" s="67"/>
      <c r="L296" s="67"/>
      <c r="M296" s="67"/>
      <c r="N296" s="67"/>
      <c r="O296" s="67">
        <f t="shared" si="18"/>
        <v>48</v>
      </c>
      <c r="P296" s="67">
        <f>IF(B296="", 0, IFERROR(MIN(C296+D296, VLOOKUP(B296, '💳 Debt Input'!$A:$G, 4, FALSE)), 0))</f>
        <v>0</v>
      </c>
      <c r="Q296" s="67"/>
    </row>
    <row r="297" spans="1:17" ht="18" customHeight="1" x14ac:dyDescent="0.35">
      <c r="A297" s="28"/>
      <c r="B297" s="26" t="str">
        <f>'💳 Debt Input'!$A$5</f>
        <v>Medical Bill</v>
      </c>
      <c r="C297" s="27">
        <f t="shared" si="19"/>
        <v>0</v>
      </c>
      <c r="D297" s="27">
        <f>ROUND(C297*'💳 Debt Input'!$C$5/12,2)</f>
        <v>0</v>
      </c>
      <c r="E297" s="27">
        <f>IF(B297="", "", MIN(C297+D297, MAX(P297, $F$3 - SUMIFS(E$10:E296, O$10:O296, O297) - SUMIFS(P298:P$1995, O298:O$1995, O297))))</f>
        <v>0</v>
      </c>
      <c r="F297" s="27">
        <f t="shared" si="16"/>
        <v>0</v>
      </c>
      <c r="G297" s="28" t="str">
        <f t="shared" si="17"/>
        <v>Paid off</v>
      </c>
      <c r="H297" s="29"/>
      <c r="J297" s="67"/>
      <c r="K297" s="67"/>
      <c r="L297" s="67"/>
      <c r="M297" s="67"/>
      <c r="N297" s="67"/>
      <c r="O297" s="67">
        <f t="shared" si="18"/>
        <v>48</v>
      </c>
      <c r="P297" s="67">
        <f>IF(B297="", 0, IFERROR(MIN(C297+D297, VLOOKUP(B297, '💳 Debt Input'!$A:$G, 4, FALSE)), 0))</f>
        <v>0</v>
      </c>
      <c r="Q297" s="67"/>
    </row>
    <row r="298" spans="1:17" ht="18" customHeight="1" x14ac:dyDescent="0.35">
      <c r="A298" s="28"/>
      <c r="B298" s="26" t="str">
        <f>'💳 Debt Input'!$A$4</f>
        <v>Store Card</v>
      </c>
      <c r="C298" s="27">
        <f t="shared" si="19"/>
        <v>0</v>
      </c>
      <c r="D298" s="27">
        <f>ROUND(C298*'💳 Debt Input'!$C$4/12,2)</f>
        <v>0</v>
      </c>
      <c r="E298" s="27">
        <f>IF(B298="", "", MIN(C298+D298, MAX(P298, $F$3 - SUMIFS(E$10:E297, O$10:O297, O298) - SUMIFS(P299:P$1995, O299:O$1995, O298))))</f>
        <v>0</v>
      </c>
      <c r="F298" s="27">
        <f t="shared" si="16"/>
        <v>0</v>
      </c>
      <c r="G298" s="28" t="str">
        <f t="shared" si="17"/>
        <v>Paid off</v>
      </c>
      <c r="H298" s="29"/>
      <c r="J298" s="67"/>
      <c r="K298" s="67"/>
      <c r="L298" s="67"/>
      <c r="M298" s="67"/>
      <c r="N298" s="67"/>
      <c r="O298" s="67">
        <f t="shared" si="18"/>
        <v>48</v>
      </c>
      <c r="P298" s="67">
        <f>IF(B298="", 0, IFERROR(MIN(C298+D298, VLOOKUP(B298, '💳 Debt Input'!$A:$G, 4, FALSE)), 0))</f>
        <v>0</v>
      </c>
      <c r="Q298" s="67"/>
    </row>
    <row r="299" spans="1:17" ht="18" customHeight="1" x14ac:dyDescent="0.35">
      <c r="A299" s="24">
        <v>49</v>
      </c>
      <c r="B299" s="8" t="str">
        <f>'💳 Debt Input'!$A$9</f>
        <v>Rewards Visa</v>
      </c>
      <c r="C299" s="10">
        <f t="shared" si="19"/>
        <v>6013.33</v>
      </c>
      <c r="D299" s="10">
        <f>ROUND(C299*'💳 Debt Input'!$C$9/12,2)</f>
        <v>180.4</v>
      </c>
      <c r="E299" s="10">
        <f>IF(B299="", "", MIN(C299+D299, MAX(P299, $F$3 - SUMIFS(E$10:E298, O$10:O298, O299) - SUMIFS(P300:P$1995, O300:O$1995, O299))))</f>
        <v>1010</v>
      </c>
      <c r="F299" s="10">
        <f t="shared" si="16"/>
        <v>5183.7299999999996</v>
      </c>
      <c r="G299" s="19" t="str">
        <f t="shared" si="17"/>
        <v>Active</v>
      </c>
      <c r="H299" s="20"/>
      <c r="J299" s="67"/>
      <c r="K299" s="67"/>
      <c r="L299" s="67"/>
      <c r="M299" s="67"/>
      <c r="N299" s="67"/>
      <c r="O299" s="67">
        <f t="shared" si="18"/>
        <v>49</v>
      </c>
      <c r="P299" s="67">
        <f>IF(B299="", 0, IFERROR(MIN(C299+D299, VLOOKUP(B299, '💳 Debt Input'!$A:$G, 4, FALSE)), 0))</f>
        <v>480</v>
      </c>
      <c r="Q299" s="67"/>
    </row>
    <row r="300" spans="1:17" ht="18" customHeight="1" x14ac:dyDescent="0.35">
      <c r="A300" s="28"/>
      <c r="B300" s="26" t="str">
        <f>'💳 Debt Input'!$A$8</f>
        <v>Travel Card</v>
      </c>
      <c r="C300" s="27">
        <f t="shared" si="19"/>
        <v>0</v>
      </c>
      <c r="D300" s="27">
        <f>ROUND(C300*'💳 Debt Input'!$C$8/12,2)</f>
        <v>0</v>
      </c>
      <c r="E300" s="27">
        <f>IF(B300="", "", MIN(C300+D300, MAX(P300, $F$3 - SUMIFS(E$10:E299, O$10:O299, O300) - SUMIFS(P301:P$1995, O301:O$1995, O300))))</f>
        <v>0</v>
      </c>
      <c r="F300" s="27">
        <f t="shared" si="16"/>
        <v>0</v>
      </c>
      <c r="G300" s="28" t="str">
        <f t="shared" si="17"/>
        <v>Paid off</v>
      </c>
      <c r="H300" s="29"/>
      <c r="J300" s="67"/>
      <c r="K300" s="67"/>
      <c r="L300" s="67"/>
      <c r="M300" s="67"/>
      <c r="N300" s="67"/>
      <c r="O300" s="67">
        <f t="shared" si="18"/>
        <v>49</v>
      </c>
      <c r="P300" s="67">
        <f>IF(B300="", 0, IFERROR(MIN(C300+D300, VLOOKUP(B300, '💳 Debt Input'!$A:$G, 4, FALSE)), 0))</f>
        <v>0</v>
      </c>
      <c r="Q300" s="67"/>
    </row>
    <row r="301" spans="1:17" ht="18" customHeight="1" x14ac:dyDescent="0.35">
      <c r="A301" s="28"/>
      <c r="B301" s="26" t="str">
        <f>'💳 Debt Input'!$A$7</f>
        <v>Auto Loan</v>
      </c>
      <c r="C301" s="27">
        <f t="shared" si="19"/>
        <v>0</v>
      </c>
      <c r="D301" s="27">
        <f>ROUND(C301*'💳 Debt Input'!$C$7/12,2)</f>
        <v>0</v>
      </c>
      <c r="E301" s="27">
        <f>IF(B301="", "", MIN(C301+D301, MAX(P301, $F$3 - SUMIFS(E$10:E300, O$10:O300, O301) - SUMIFS(P302:P$1995, O302:O$1995, O301))))</f>
        <v>0</v>
      </c>
      <c r="F301" s="27">
        <f t="shared" si="16"/>
        <v>0</v>
      </c>
      <c r="G301" s="28" t="str">
        <f t="shared" si="17"/>
        <v>Paid off</v>
      </c>
      <c r="H301" s="29"/>
      <c r="J301" s="67"/>
      <c r="K301" s="67"/>
      <c r="L301" s="67"/>
      <c r="M301" s="67"/>
      <c r="N301" s="67"/>
      <c r="O301" s="67">
        <f t="shared" si="18"/>
        <v>49</v>
      </c>
      <c r="P301" s="67">
        <f>IF(B301="", 0, IFERROR(MIN(C301+D301, VLOOKUP(B301, '💳 Debt Input'!$A:$G, 4, FALSE)), 0))</f>
        <v>0</v>
      </c>
      <c r="Q301" s="67"/>
    </row>
    <row r="302" spans="1:17" ht="18" customHeight="1" x14ac:dyDescent="0.35">
      <c r="A302" s="28"/>
      <c r="B302" s="26" t="str">
        <f>'💳 Debt Input'!$A$6</f>
        <v>Personal Loan</v>
      </c>
      <c r="C302" s="27">
        <f t="shared" si="19"/>
        <v>0</v>
      </c>
      <c r="D302" s="27">
        <f>ROUND(C302*'💳 Debt Input'!$C$6/12,2)</f>
        <v>0</v>
      </c>
      <c r="E302" s="27">
        <f>IF(B302="", "", MIN(C302+D302, MAX(P302, $F$3 - SUMIFS(E$10:E301, O$10:O301, O302) - SUMIFS(P303:P$1995, O303:O$1995, O302))))</f>
        <v>0</v>
      </c>
      <c r="F302" s="27">
        <f t="shared" si="16"/>
        <v>0</v>
      </c>
      <c r="G302" s="28" t="str">
        <f t="shared" si="17"/>
        <v>Paid off</v>
      </c>
      <c r="H302" s="29"/>
      <c r="J302" s="67"/>
      <c r="K302" s="67"/>
      <c r="L302" s="67"/>
      <c r="M302" s="67"/>
      <c r="N302" s="67"/>
      <c r="O302" s="67">
        <f t="shared" si="18"/>
        <v>49</v>
      </c>
      <c r="P302" s="67">
        <f>IF(B302="", 0, IFERROR(MIN(C302+D302, VLOOKUP(B302, '💳 Debt Input'!$A:$G, 4, FALSE)), 0))</f>
        <v>0</v>
      </c>
      <c r="Q302" s="67"/>
    </row>
    <row r="303" spans="1:17" ht="18" customHeight="1" x14ac:dyDescent="0.35">
      <c r="A303" s="28"/>
      <c r="B303" s="26" t="str">
        <f>'💳 Debt Input'!$A$5</f>
        <v>Medical Bill</v>
      </c>
      <c r="C303" s="27">
        <f t="shared" si="19"/>
        <v>0</v>
      </c>
      <c r="D303" s="27">
        <f>ROUND(C303*'💳 Debt Input'!$C$5/12,2)</f>
        <v>0</v>
      </c>
      <c r="E303" s="27">
        <f>IF(B303="", "", MIN(C303+D303, MAX(P303, $F$3 - SUMIFS(E$10:E302, O$10:O302, O303) - SUMIFS(P304:P$1995, O304:O$1995, O303))))</f>
        <v>0</v>
      </c>
      <c r="F303" s="27">
        <f t="shared" si="16"/>
        <v>0</v>
      </c>
      <c r="G303" s="28" t="str">
        <f t="shared" si="17"/>
        <v>Paid off</v>
      </c>
      <c r="H303" s="29"/>
      <c r="J303" s="67"/>
      <c r="K303" s="67"/>
      <c r="L303" s="67"/>
      <c r="M303" s="67"/>
      <c r="N303" s="67"/>
      <c r="O303" s="67">
        <f t="shared" si="18"/>
        <v>49</v>
      </c>
      <c r="P303" s="67">
        <f>IF(B303="", 0, IFERROR(MIN(C303+D303, VLOOKUP(B303, '💳 Debt Input'!$A:$G, 4, FALSE)), 0))</f>
        <v>0</v>
      </c>
      <c r="Q303" s="67"/>
    </row>
    <row r="304" spans="1:17" ht="18" customHeight="1" x14ac:dyDescent="0.35">
      <c r="A304" s="28"/>
      <c r="B304" s="26" t="str">
        <f>'💳 Debt Input'!$A$4</f>
        <v>Store Card</v>
      </c>
      <c r="C304" s="27">
        <f t="shared" si="19"/>
        <v>0</v>
      </c>
      <c r="D304" s="27">
        <f>ROUND(C304*'💳 Debt Input'!$C$4/12,2)</f>
        <v>0</v>
      </c>
      <c r="E304" s="27">
        <f>IF(B304="", "", MIN(C304+D304, MAX(P304, $F$3 - SUMIFS(E$10:E303, O$10:O303, O304) - SUMIFS(P305:P$1995, O305:O$1995, O304))))</f>
        <v>0</v>
      </c>
      <c r="F304" s="27">
        <f t="shared" si="16"/>
        <v>0</v>
      </c>
      <c r="G304" s="28" t="str">
        <f t="shared" si="17"/>
        <v>Paid off</v>
      </c>
      <c r="H304" s="29"/>
      <c r="J304" s="67"/>
      <c r="K304" s="67"/>
      <c r="L304" s="67"/>
      <c r="M304" s="67"/>
      <c r="N304" s="67"/>
      <c r="O304" s="67">
        <f t="shared" si="18"/>
        <v>49</v>
      </c>
      <c r="P304" s="67">
        <f>IF(B304="", 0, IFERROR(MIN(C304+D304, VLOOKUP(B304, '💳 Debt Input'!$A:$G, 4, FALSE)), 0))</f>
        <v>0</v>
      </c>
      <c r="Q304" s="67"/>
    </row>
    <row r="305" spans="1:17" ht="18" customHeight="1" x14ac:dyDescent="0.35">
      <c r="A305" s="21">
        <v>50</v>
      </c>
      <c r="B305" s="6" t="str">
        <f>'💳 Debt Input'!$A$9</f>
        <v>Rewards Visa</v>
      </c>
      <c r="C305" s="12">
        <f t="shared" si="19"/>
        <v>5183.7299999999996</v>
      </c>
      <c r="D305" s="12">
        <f>ROUND(C305*'💳 Debt Input'!$C$9/12,2)</f>
        <v>155.51</v>
      </c>
      <c r="E305" s="12">
        <f>IF(B305="", "", MIN(C305+D305, MAX(P305, $F$3 - SUMIFS(E$10:E304, O$10:O304, O305) - SUMIFS(P306:P$1995, O306:O$1995, O305))))</f>
        <v>1010</v>
      </c>
      <c r="F305" s="12">
        <f t="shared" si="16"/>
        <v>4329.24</v>
      </c>
      <c r="G305" s="22" t="str">
        <f t="shared" si="17"/>
        <v>Active</v>
      </c>
      <c r="H305" s="23"/>
      <c r="J305" s="67"/>
      <c r="K305" s="67"/>
      <c r="L305" s="67"/>
      <c r="M305" s="67"/>
      <c r="N305" s="67"/>
      <c r="O305" s="67">
        <f t="shared" si="18"/>
        <v>50</v>
      </c>
      <c r="P305" s="67">
        <f>IF(B305="", 0, IFERROR(MIN(C305+D305, VLOOKUP(B305, '💳 Debt Input'!$A:$G, 4, FALSE)), 0))</f>
        <v>480</v>
      </c>
      <c r="Q305" s="67"/>
    </row>
    <row r="306" spans="1:17" ht="18" customHeight="1" x14ac:dyDescent="0.35">
      <c r="A306" s="28"/>
      <c r="B306" s="26" t="str">
        <f>'💳 Debt Input'!$A$8</f>
        <v>Travel Card</v>
      </c>
      <c r="C306" s="27">
        <f t="shared" si="19"/>
        <v>0</v>
      </c>
      <c r="D306" s="27">
        <f>ROUND(C306*'💳 Debt Input'!$C$8/12,2)</f>
        <v>0</v>
      </c>
      <c r="E306" s="27">
        <f>IF(B306="", "", MIN(C306+D306, MAX(P306, $F$3 - SUMIFS(E$10:E305, O$10:O305, O306) - SUMIFS(P307:P$1995, O307:O$1995, O306))))</f>
        <v>0</v>
      </c>
      <c r="F306" s="27">
        <f t="shared" si="16"/>
        <v>0</v>
      </c>
      <c r="G306" s="28" t="str">
        <f t="shared" si="17"/>
        <v>Paid off</v>
      </c>
      <c r="H306" s="29"/>
      <c r="J306" s="67"/>
      <c r="K306" s="67"/>
      <c r="L306" s="67"/>
      <c r="M306" s="67"/>
      <c r="N306" s="67"/>
      <c r="O306" s="67">
        <f t="shared" si="18"/>
        <v>50</v>
      </c>
      <c r="P306" s="67">
        <f>IF(B306="", 0, IFERROR(MIN(C306+D306, VLOOKUP(B306, '💳 Debt Input'!$A:$G, 4, FALSE)), 0))</f>
        <v>0</v>
      </c>
      <c r="Q306" s="67"/>
    </row>
    <row r="307" spans="1:17" ht="18" customHeight="1" x14ac:dyDescent="0.35">
      <c r="A307" s="28"/>
      <c r="B307" s="26" t="str">
        <f>'💳 Debt Input'!$A$7</f>
        <v>Auto Loan</v>
      </c>
      <c r="C307" s="27">
        <f t="shared" si="19"/>
        <v>0</v>
      </c>
      <c r="D307" s="27">
        <f>ROUND(C307*'💳 Debt Input'!$C$7/12,2)</f>
        <v>0</v>
      </c>
      <c r="E307" s="27">
        <f>IF(B307="", "", MIN(C307+D307, MAX(P307, $F$3 - SUMIFS(E$10:E306, O$10:O306, O307) - SUMIFS(P308:P$1995, O308:O$1995, O307))))</f>
        <v>0</v>
      </c>
      <c r="F307" s="27">
        <f t="shared" si="16"/>
        <v>0</v>
      </c>
      <c r="G307" s="28" t="str">
        <f t="shared" si="17"/>
        <v>Paid off</v>
      </c>
      <c r="H307" s="29"/>
      <c r="J307" s="67"/>
      <c r="K307" s="67"/>
      <c r="L307" s="67"/>
      <c r="M307" s="67"/>
      <c r="N307" s="67"/>
      <c r="O307" s="67">
        <f t="shared" si="18"/>
        <v>50</v>
      </c>
      <c r="P307" s="67">
        <f>IF(B307="", 0, IFERROR(MIN(C307+D307, VLOOKUP(B307, '💳 Debt Input'!$A:$G, 4, FALSE)), 0))</f>
        <v>0</v>
      </c>
      <c r="Q307" s="67"/>
    </row>
    <row r="308" spans="1:17" ht="18" customHeight="1" x14ac:dyDescent="0.35">
      <c r="A308" s="28"/>
      <c r="B308" s="26" t="str">
        <f>'💳 Debt Input'!$A$6</f>
        <v>Personal Loan</v>
      </c>
      <c r="C308" s="27">
        <f t="shared" si="19"/>
        <v>0</v>
      </c>
      <c r="D308" s="27">
        <f>ROUND(C308*'💳 Debt Input'!$C$6/12,2)</f>
        <v>0</v>
      </c>
      <c r="E308" s="27">
        <f>IF(B308="", "", MIN(C308+D308, MAX(P308, $F$3 - SUMIFS(E$10:E307, O$10:O307, O308) - SUMIFS(P309:P$1995, O309:O$1995, O308))))</f>
        <v>0</v>
      </c>
      <c r="F308" s="27">
        <f t="shared" si="16"/>
        <v>0</v>
      </c>
      <c r="G308" s="28" t="str">
        <f t="shared" si="17"/>
        <v>Paid off</v>
      </c>
      <c r="H308" s="29"/>
      <c r="J308" s="67"/>
      <c r="K308" s="67"/>
      <c r="L308" s="67"/>
      <c r="M308" s="67"/>
      <c r="N308" s="67"/>
      <c r="O308" s="67">
        <f t="shared" si="18"/>
        <v>50</v>
      </c>
      <c r="P308" s="67">
        <f>IF(B308="", 0, IFERROR(MIN(C308+D308, VLOOKUP(B308, '💳 Debt Input'!$A:$G, 4, FALSE)), 0))</f>
        <v>0</v>
      </c>
      <c r="Q308" s="67"/>
    </row>
    <row r="309" spans="1:17" ht="18" customHeight="1" x14ac:dyDescent="0.35">
      <c r="A309" s="28"/>
      <c r="B309" s="26" t="str">
        <f>'💳 Debt Input'!$A$5</f>
        <v>Medical Bill</v>
      </c>
      <c r="C309" s="27">
        <f t="shared" si="19"/>
        <v>0</v>
      </c>
      <c r="D309" s="27">
        <f>ROUND(C309*'💳 Debt Input'!$C$5/12,2)</f>
        <v>0</v>
      </c>
      <c r="E309" s="27">
        <f>IF(B309="", "", MIN(C309+D309, MAX(P309, $F$3 - SUMIFS(E$10:E308, O$10:O308, O309) - SUMIFS(P310:P$1995, O310:O$1995, O309))))</f>
        <v>0</v>
      </c>
      <c r="F309" s="27">
        <f t="shared" si="16"/>
        <v>0</v>
      </c>
      <c r="G309" s="28" t="str">
        <f t="shared" si="17"/>
        <v>Paid off</v>
      </c>
      <c r="H309" s="29"/>
      <c r="J309" s="67"/>
      <c r="K309" s="67"/>
      <c r="L309" s="67"/>
      <c r="M309" s="67"/>
      <c r="N309" s="67"/>
      <c r="O309" s="67">
        <f t="shared" si="18"/>
        <v>50</v>
      </c>
      <c r="P309" s="67">
        <f>IF(B309="", 0, IFERROR(MIN(C309+D309, VLOOKUP(B309, '💳 Debt Input'!$A:$G, 4, FALSE)), 0))</f>
        <v>0</v>
      </c>
      <c r="Q309" s="67"/>
    </row>
    <row r="310" spans="1:17" ht="18" customHeight="1" x14ac:dyDescent="0.35">
      <c r="A310" s="28"/>
      <c r="B310" s="26" t="str">
        <f>'💳 Debt Input'!$A$4</f>
        <v>Store Card</v>
      </c>
      <c r="C310" s="27">
        <f t="shared" si="19"/>
        <v>0</v>
      </c>
      <c r="D310" s="27">
        <f>ROUND(C310*'💳 Debt Input'!$C$4/12,2)</f>
        <v>0</v>
      </c>
      <c r="E310" s="27">
        <f>IF(B310="", "", MIN(C310+D310, MAX(P310, $F$3 - SUMIFS(E$10:E309, O$10:O309, O310) - SUMIFS(P311:P$1995, O311:O$1995, O310))))</f>
        <v>0</v>
      </c>
      <c r="F310" s="27">
        <f t="shared" si="16"/>
        <v>0</v>
      </c>
      <c r="G310" s="28" t="str">
        <f t="shared" si="17"/>
        <v>Paid off</v>
      </c>
      <c r="H310" s="29"/>
      <c r="J310" s="67"/>
      <c r="K310" s="67"/>
      <c r="L310" s="67"/>
      <c r="M310" s="67"/>
      <c r="N310" s="67"/>
      <c r="O310" s="67">
        <f t="shared" si="18"/>
        <v>50</v>
      </c>
      <c r="P310" s="67">
        <f>IF(B310="", 0, IFERROR(MIN(C310+D310, VLOOKUP(B310, '💳 Debt Input'!$A:$G, 4, FALSE)), 0))</f>
        <v>0</v>
      </c>
      <c r="Q310" s="67"/>
    </row>
    <row r="311" spans="1:17" ht="18" customHeight="1" x14ac:dyDescent="0.35">
      <c r="A311" s="24">
        <v>51</v>
      </c>
      <c r="B311" s="8" t="str">
        <f>'💳 Debt Input'!$A$9</f>
        <v>Rewards Visa</v>
      </c>
      <c r="C311" s="10">
        <f t="shared" si="19"/>
        <v>4329.24</v>
      </c>
      <c r="D311" s="10">
        <f>ROUND(C311*'💳 Debt Input'!$C$9/12,2)</f>
        <v>129.88</v>
      </c>
      <c r="E311" s="10">
        <f>IF(B311="", "", MIN(C311+D311, MAX(P311, $F$3 - SUMIFS(E$10:E310, O$10:O310, O311) - SUMIFS(P312:P$1995, O312:O$1995, O311))))</f>
        <v>1010</v>
      </c>
      <c r="F311" s="10">
        <f t="shared" si="16"/>
        <v>3449.12</v>
      </c>
      <c r="G311" s="19" t="str">
        <f t="shared" si="17"/>
        <v>Active</v>
      </c>
      <c r="H311" s="20"/>
      <c r="J311" s="67"/>
      <c r="K311" s="67"/>
      <c r="L311" s="67"/>
      <c r="M311" s="67"/>
      <c r="N311" s="67"/>
      <c r="O311" s="67">
        <f t="shared" si="18"/>
        <v>51</v>
      </c>
      <c r="P311" s="67">
        <f>IF(B311="", 0, IFERROR(MIN(C311+D311, VLOOKUP(B311, '💳 Debt Input'!$A:$G, 4, FALSE)), 0))</f>
        <v>480</v>
      </c>
      <c r="Q311" s="67"/>
    </row>
    <row r="312" spans="1:17" ht="18" customHeight="1" x14ac:dyDescent="0.35">
      <c r="A312" s="28"/>
      <c r="B312" s="26" t="str">
        <f>'💳 Debt Input'!$A$8</f>
        <v>Travel Card</v>
      </c>
      <c r="C312" s="27">
        <f t="shared" si="19"/>
        <v>0</v>
      </c>
      <c r="D312" s="27">
        <f>ROUND(C312*'💳 Debt Input'!$C$8/12,2)</f>
        <v>0</v>
      </c>
      <c r="E312" s="27">
        <f>IF(B312="", "", MIN(C312+D312, MAX(P312, $F$3 - SUMIFS(E$10:E311, O$10:O311, O312) - SUMIFS(P313:P$1995, O313:O$1995, O312))))</f>
        <v>0</v>
      </c>
      <c r="F312" s="27">
        <f t="shared" si="16"/>
        <v>0</v>
      </c>
      <c r="G312" s="28" t="str">
        <f t="shared" si="17"/>
        <v>Paid off</v>
      </c>
      <c r="H312" s="29"/>
      <c r="J312" s="67"/>
      <c r="K312" s="67"/>
      <c r="L312" s="67"/>
      <c r="M312" s="67"/>
      <c r="N312" s="67"/>
      <c r="O312" s="67">
        <f t="shared" si="18"/>
        <v>51</v>
      </c>
      <c r="P312" s="67">
        <f>IF(B312="", 0, IFERROR(MIN(C312+D312, VLOOKUP(B312, '💳 Debt Input'!$A:$G, 4, FALSE)), 0))</f>
        <v>0</v>
      </c>
      <c r="Q312" s="67"/>
    </row>
    <row r="313" spans="1:17" ht="18" customHeight="1" x14ac:dyDescent="0.35">
      <c r="A313" s="28"/>
      <c r="B313" s="26" t="str">
        <f>'💳 Debt Input'!$A$7</f>
        <v>Auto Loan</v>
      </c>
      <c r="C313" s="27">
        <f t="shared" si="19"/>
        <v>0</v>
      </c>
      <c r="D313" s="27">
        <f>ROUND(C313*'💳 Debt Input'!$C$7/12,2)</f>
        <v>0</v>
      </c>
      <c r="E313" s="27">
        <f>IF(B313="", "", MIN(C313+D313, MAX(P313, $F$3 - SUMIFS(E$10:E312, O$10:O312, O313) - SUMIFS(P314:P$1995, O314:O$1995, O313))))</f>
        <v>0</v>
      </c>
      <c r="F313" s="27">
        <f t="shared" si="16"/>
        <v>0</v>
      </c>
      <c r="G313" s="28" t="str">
        <f t="shared" si="17"/>
        <v>Paid off</v>
      </c>
      <c r="H313" s="29"/>
      <c r="J313" s="67"/>
      <c r="K313" s="67"/>
      <c r="L313" s="67"/>
      <c r="M313" s="67"/>
      <c r="N313" s="67"/>
      <c r="O313" s="67">
        <f t="shared" si="18"/>
        <v>51</v>
      </c>
      <c r="P313" s="67">
        <f>IF(B313="", 0, IFERROR(MIN(C313+D313, VLOOKUP(B313, '💳 Debt Input'!$A:$G, 4, FALSE)), 0))</f>
        <v>0</v>
      </c>
      <c r="Q313" s="67"/>
    </row>
    <row r="314" spans="1:17" ht="18" customHeight="1" x14ac:dyDescent="0.35">
      <c r="A314" s="28"/>
      <c r="B314" s="26" t="str">
        <f>'💳 Debt Input'!$A$6</f>
        <v>Personal Loan</v>
      </c>
      <c r="C314" s="27">
        <f t="shared" si="19"/>
        <v>0</v>
      </c>
      <c r="D314" s="27">
        <f>ROUND(C314*'💳 Debt Input'!$C$6/12,2)</f>
        <v>0</v>
      </c>
      <c r="E314" s="27">
        <f>IF(B314="", "", MIN(C314+D314, MAX(P314, $F$3 - SUMIFS(E$10:E313, O$10:O313, O314) - SUMIFS(P315:P$1995, O315:O$1995, O314))))</f>
        <v>0</v>
      </c>
      <c r="F314" s="27">
        <f t="shared" si="16"/>
        <v>0</v>
      </c>
      <c r="G314" s="28" t="str">
        <f t="shared" si="17"/>
        <v>Paid off</v>
      </c>
      <c r="H314" s="29"/>
      <c r="J314" s="67"/>
      <c r="K314" s="67"/>
      <c r="L314" s="67"/>
      <c r="M314" s="67"/>
      <c r="N314" s="67"/>
      <c r="O314" s="67">
        <f t="shared" si="18"/>
        <v>51</v>
      </c>
      <c r="P314" s="67">
        <f>IF(B314="", 0, IFERROR(MIN(C314+D314, VLOOKUP(B314, '💳 Debt Input'!$A:$G, 4, FALSE)), 0))</f>
        <v>0</v>
      </c>
      <c r="Q314" s="67"/>
    </row>
    <row r="315" spans="1:17" ht="18" customHeight="1" x14ac:dyDescent="0.35">
      <c r="A315" s="28"/>
      <c r="B315" s="26" t="str">
        <f>'💳 Debt Input'!$A$5</f>
        <v>Medical Bill</v>
      </c>
      <c r="C315" s="27">
        <f t="shared" si="19"/>
        <v>0</v>
      </c>
      <c r="D315" s="27">
        <f>ROUND(C315*'💳 Debt Input'!$C$5/12,2)</f>
        <v>0</v>
      </c>
      <c r="E315" s="27">
        <f>IF(B315="", "", MIN(C315+D315, MAX(P315, $F$3 - SUMIFS(E$10:E314, O$10:O314, O315) - SUMIFS(P316:P$1995, O316:O$1995, O315))))</f>
        <v>0</v>
      </c>
      <c r="F315" s="27">
        <f t="shared" si="16"/>
        <v>0</v>
      </c>
      <c r="G315" s="28" t="str">
        <f t="shared" si="17"/>
        <v>Paid off</v>
      </c>
      <c r="H315" s="29"/>
      <c r="J315" s="67"/>
      <c r="K315" s="67"/>
      <c r="L315" s="67"/>
      <c r="M315" s="67"/>
      <c r="N315" s="67"/>
      <c r="O315" s="67">
        <f t="shared" si="18"/>
        <v>51</v>
      </c>
      <c r="P315" s="67">
        <f>IF(B315="", 0, IFERROR(MIN(C315+D315, VLOOKUP(B315, '💳 Debt Input'!$A:$G, 4, FALSE)), 0))</f>
        <v>0</v>
      </c>
      <c r="Q315" s="67"/>
    </row>
    <row r="316" spans="1:17" ht="18" customHeight="1" x14ac:dyDescent="0.35">
      <c r="A316" s="28"/>
      <c r="B316" s="26" t="str">
        <f>'💳 Debt Input'!$A$4</f>
        <v>Store Card</v>
      </c>
      <c r="C316" s="27">
        <f t="shared" si="19"/>
        <v>0</v>
      </c>
      <c r="D316" s="27">
        <f>ROUND(C316*'💳 Debt Input'!$C$4/12,2)</f>
        <v>0</v>
      </c>
      <c r="E316" s="27">
        <f>IF(B316="", "", MIN(C316+D316, MAX(P316, $F$3 - SUMIFS(E$10:E315, O$10:O315, O316) - SUMIFS(P317:P$1995, O317:O$1995, O316))))</f>
        <v>0</v>
      </c>
      <c r="F316" s="27">
        <f t="shared" si="16"/>
        <v>0</v>
      </c>
      <c r="G316" s="28" t="str">
        <f t="shared" si="17"/>
        <v>Paid off</v>
      </c>
      <c r="H316" s="29"/>
      <c r="J316" s="67"/>
      <c r="K316" s="67"/>
      <c r="L316" s="67"/>
      <c r="M316" s="67"/>
      <c r="N316" s="67"/>
      <c r="O316" s="67">
        <f t="shared" si="18"/>
        <v>51</v>
      </c>
      <c r="P316" s="67">
        <f>IF(B316="", 0, IFERROR(MIN(C316+D316, VLOOKUP(B316, '💳 Debt Input'!$A:$G, 4, FALSE)), 0))</f>
        <v>0</v>
      </c>
      <c r="Q316" s="67"/>
    </row>
    <row r="317" spans="1:17" ht="18" customHeight="1" x14ac:dyDescent="0.35">
      <c r="A317" s="21">
        <v>52</v>
      </c>
      <c r="B317" s="6" t="str">
        <f>'💳 Debt Input'!$A$9</f>
        <v>Rewards Visa</v>
      </c>
      <c r="C317" s="12">
        <f t="shared" si="19"/>
        <v>3449.12</v>
      </c>
      <c r="D317" s="12">
        <f>ROUND(C317*'💳 Debt Input'!$C$9/12,2)</f>
        <v>103.47</v>
      </c>
      <c r="E317" s="12">
        <f>IF(B317="", "", MIN(C317+D317, MAX(P317, $F$3 - SUMIFS(E$10:E316, O$10:O316, O317) - SUMIFS(P318:P$1995, O318:O$1995, O317))))</f>
        <v>1010</v>
      </c>
      <c r="F317" s="12">
        <f t="shared" si="16"/>
        <v>2542.59</v>
      </c>
      <c r="G317" s="22" t="str">
        <f t="shared" si="17"/>
        <v>Active</v>
      </c>
      <c r="H317" s="23"/>
      <c r="J317" s="67"/>
      <c r="K317" s="67"/>
      <c r="L317" s="67"/>
      <c r="M317" s="67"/>
      <c r="N317" s="67"/>
      <c r="O317" s="67">
        <f t="shared" si="18"/>
        <v>52</v>
      </c>
      <c r="P317" s="67">
        <f>IF(B317="", 0, IFERROR(MIN(C317+D317, VLOOKUP(B317, '💳 Debt Input'!$A:$G, 4, FALSE)), 0))</f>
        <v>480</v>
      </c>
      <c r="Q317" s="67"/>
    </row>
    <row r="318" spans="1:17" ht="18" customHeight="1" x14ac:dyDescent="0.35">
      <c r="A318" s="28"/>
      <c r="B318" s="26" t="str">
        <f>'💳 Debt Input'!$A$8</f>
        <v>Travel Card</v>
      </c>
      <c r="C318" s="27">
        <f t="shared" si="19"/>
        <v>0</v>
      </c>
      <c r="D318" s="27">
        <f>ROUND(C318*'💳 Debt Input'!$C$8/12,2)</f>
        <v>0</v>
      </c>
      <c r="E318" s="27">
        <f>IF(B318="", "", MIN(C318+D318, MAX(P318, $F$3 - SUMIFS(E$10:E317, O$10:O317, O318) - SUMIFS(P319:P$1995, O319:O$1995, O318))))</f>
        <v>0</v>
      </c>
      <c r="F318" s="27">
        <f t="shared" si="16"/>
        <v>0</v>
      </c>
      <c r="G318" s="28" t="str">
        <f t="shared" si="17"/>
        <v>Paid off</v>
      </c>
      <c r="H318" s="29"/>
      <c r="J318" s="67"/>
      <c r="K318" s="67"/>
      <c r="L318" s="67"/>
      <c r="M318" s="67"/>
      <c r="N318" s="67"/>
      <c r="O318" s="67">
        <f t="shared" si="18"/>
        <v>52</v>
      </c>
      <c r="P318" s="67">
        <f>IF(B318="", 0, IFERROR(MIN(C318+D318, VLOOKUP(B318, '💳 Debt Input'!$A:$G, 4, FALSE)), 0))</f>
        <v>0</v>
      </c>
      <c r="Q318" s="67"/>
    </row>
    <row r="319" spans="1:17" ht="18" customHeight="1" x14ac:dyDescent="0.35">
      <c r="A319" s="28"/>
      <c r="B319" s="26" t="str">
        <f>'💳 Debt Input'!$A$7</f>
        <v>Auto Loan</v>
      </c>
      <c r="C319" s="27">
        <f t="shared" si="19"/>
        <v>0</v>
      </c>
      <c r="D319" s="27">
        <f>ROUND(C319*'💳 Debt Input'!$C$7/12,2)</f>
        <v>0</v>
      </c>
      <c r="E319" s="27">
        <f>IF(B319="", "", MIN(C319+D319, MAX(P319, $F$3 - SUMIFS(E$10:E318, O$10:O318, O319) - SUMIFS(P320:P$1995, O320:O$1995, O319))))</f>
        <v>0</v>
      </c>
      <c r="F319" s="27">
        <f t="shared" si="16"/>
        <v>0</v>
      </c>
      <c r="G319" s="28" t="str">
        <f t="shared" si="17"/>
        <v>Paid off</v>
      </c>
      <c r="H319" s="29"/>
      <c r="J319" s="67"/>
      <c r="K319" s="67"/>
      <c r="L319" s="67"/>
      <c r="M319" s="67"/>
      <c r="N319" s="67"/>
      <c r="O319" s="67">
        <f t="shared" si="18"/>
        <v>52</v>
      </c>
      <c r="P319" s="67">
        <f>IF(B319="", 0, IFERROR(MIN(C319+D319, VLOOKUP(B319, '💳 Debt Input'!$A:$G, 4, FALSE)), 0))</f>
        <v>0</v>
      </c>
      <c r="Q319" s="67"/>
    </row>
    <row r="320" spans="1:17" ht="18" customHeight="1" x14ac:dyDescent="0.35">
      <c r="A320" s="28"/>
      <c r="B320" s="26" t="str">
        <f>'💳 Debt Input'!$A$6</f>
        <v>Personal Loan</v>
      </c>
      <c r="C320" s="27">
        <f t="shared" si="19"/>
        <v>0</v>
      </c>
      <c r="D320" s="27">
        <f>ROUND(C320*'💳 Debt Input'!$C$6/12,2)</f>
        <v>0</v>
      </c>
      <c r="E320" s="27">
        <f>IF(B320="", "", MIN(C320+D320, MAX(P320, $F$3 - SUMIFS(E$10:E319, O$10:O319, O320) - SUMIFS(P321:P$1995, O321:O$1995, O320))))</f>
        <v>0</v>
      </c>
      <c r="F320" s="27">
        <f t="shared" si="16"/>
        <v>0</v>
      </c>
      <c r="G320" s="28" t="str">
        <f t="shared" si="17"/>
        <v>Paid off</v>
      </c>
      <c r="H320" s="29"/>
      <c r="J320" s="67"/>
      <c r="K320" s="67"/>
      <c r="L320" s="67"/>
      <c r="M320" s="67"/>
      <c r="N320" s="67"/>
      <c r="O320" s="67">
        <f t="shared" si="18"/>
        <v>52</v>
      </c>
      <c r="P320" s="67">
        <f>IF(B320="", 0, IFERROR(MIN(C320+D320, VLOOKUP(B320, '💳 Debt Input'!$A:$G, 4, FALSE)), 0))</f>
        <v>0</v>
      </c>
      <c r="Q320" s="67"/>
    </row>
    <row r="321" spans="1:17" ht="18" customHeight="1" x14ac:dyDescent="0.35">
      <c r="A321" s="28"/>
      <c r="B321" s="26" t="str">
        <f>'💳 Debt Input'!$A$5</f>
        <v>Medical Bill</v>
      </c>
      <c r="C321" s="27">
        <f t="shared" si="19"/>
        <v>0</v>
      </c>
      <c r="D321" s="27">
        <f>ROUND(C321*'💳 Debt Input'!$C$5/12,2)</f>
        <v>0</v>
      </c>
      <c r="E321" s="27">
        <f>IF(B321="", "", MIN(C321+D321, MAX(P321, $F$3 - SUMIFS(E$10:E320, O$10:O320, O321) - SUMIFS(P322:P$1995, O322:O$1995, O321))))</f>
        <v>0</v>
      </c>
      <c r="F321" s="27">
        <f t="shared" si="16"/>
        <v>0</v>
      </c>
      <c r="G321" s="28" t="str">
        <f t="shared" si="17"/>
        <v>Paid off</v>
      </c>
      <c r="H321" s="29"/>
      <c r="J321" s="67"/>
      <c r="K321" s="67"/>
      <c r="L321" s="67"/>
      <c r="M321" s="67"/>
      <c r="N321" s="67"/>
      <c r="O321" s="67">
        <f t="shared" si="18"/>
        <v>52</v>
      </c>
      <c r="P321" s="67">
        <f>IF(B321="", 0, IFERROR(MIN(C321+D321, VLOOKUP(B321, '💳 Debt Input'!$A:$G, 4, FALSE)), 0))</f>
        <v>0</v>
      </c>
      <c r="Q321" s="67"/>
    </row>
    <row r="322" spans="1:17" ht="18" customHeight="1" x14ac:dyDescent="0.35">
      <c r="A322" s="28"/>
      <c r="B322" s="26" t="str">
        <f>'💳 Debt Input'!$A$4</f>
        <v>Store Card</v>
      </c>
      <c r="C322" s="27">
        <f t="shared" si="19"/>
        <v>0</v>
      </c>
      <c r="D322" s="27">
        <f>ROUND(C322*'💳 Debt Input'!$C$4/12,2)</f>
        <v>0</v>
      </c>
      <c r="E322" s="27">
        <f>IF(B322="", "", MIN(C322+D322, MAX(P322, $F$3 - SUMIFS(E$10:E321, O$10:O321, O322) - SUMIFS(P323:P$1995, O323:O$1995, O322))))</f>
        <v>0</v>
      </c>
      <c r="F322" s="27">
        <f t="shared" si="16"/>
        <v>0</v>
      </c>
      <c r="G322" s="28" t="str">
        <f t="shared" si="17"/>
        <v>Paid off</v>
      </c>
      <c r="H322" s="29"/>
      <c r="J322" s="67"/>
      <c r="K322" s="67"/>
      <c r="L322" s="67"/>
      <c r="M322" s="67"/>
      <c r="N322" s="67"/>
      <c r="O322" s="67">
        <f t="shared" si="18"/>
        <v>52</v>
      </c>
      <c r="P322" s="67">
        <f>IF(B322="", 0, IFERROR(MIN(C322+D322, VLOOKUP(B322, '💳 Debt Input'!$A:$G, 4, FALSE)), 0))</f>
        <v>0</v>
      </c>
      <c r="Q322" s="67"/>
    </row>
    <row r="323" spans="1:17" ht="18" customHeight="1" x14ac:dyDescent="0.35">
      <c r="A323" s="24">
        <v>53</v>
      </c>
      <c r="B323" s="8" t="str">
        <f>'💳 Debt Input'!$A$9</f>
        <v>Rewards Visa</v>
      </c>
      <c r="C323" s="10">
        <f t="shared" si="19"/>
        <v>2542.59</v>
      </c>
      <c r="D323" s="10">
        <f>ROUND(C323*'💳 Debt Input'!$C$9/12,2)</f>
        <v>76.28</v>
      </c>
      <c r="E323" s="10">
        <f>IF(B323="", "", MIN(C323+D323, MAX(P323, $F$3 - SUMIFS(E$10:E322, O$10:O322, O323) - SUMIFS(P324:P$1995, O324:O$1995, O323))))</f>
        <v>1010</v>
      </c>
      <c r="F323" s="10">
        <f t="shared" si="16"/>
        <v>1608.87</v>
      </c>
      <c r="G323" s="19" t="str">
        <f t="shared" si="17"/>
        <v>Active</v>
      </c>
      <c r="H323" s="20"/>
      <c r="J323" s="67"/>
      <c r="K323" s="67"/>
      <c r="L323" s="67"/>
      <c r="M323" s="67"/>
      <c r="N323" s="67"/>
      <c r="O323" s="67">
        <f t="shared" si="18"/>
        <v>53</v>
      </c>
      <c r="P323" s="67">
        <f>IF(B323="", 0, IFERROR(MIN(C323+D323, VLOOKUP(B323, '💳 Debt Input'!$A:$G, 4, FALSE)), 0))</f>
        <v>480</v>
      </c>
      <c r="Q323" s="67"/>
    </row>
    <row r="324" spans="1:17" ht="18" customHeight="1" x14ac:dyDescent="0.35">
      <c r="A324" s="28"/>
      <c r="B324" s="26" t="str">
        <f>'💳 Debt Input'!$A$8</f>
        <v>Travel Card</v>
      </c>
      <c r="C324" s="27">
        <f t="shared" si="19"/>
        <v>0</v>
      </c>
      <c r="D324" s="27">
        <f>ROUND(C324*'💳 Debt Input'!$C$8/12,2)</f>
        <v>0</v>
      </c>
      <c r="E324" s="27">
        <f>IF(B324="", "", MIN(C324+D324, MAX(P324, $F$3 - SUMIFS(E$10:E323, O$10:O323, O324) - SUMIFS(P325:P$1995, O325:O$1995, O324))))</f>
        <v>0</v>
      </c>
      <c r="F324" s="27">
        <f t="shared" si="16"/>
        <v>0</v>
      </c>
      <c r="G324" s="28" t="str">
        <f t="shared" si="17"/>
        <v>Paid off</v>
      </c>
      <c r="H324" s="29"/>
      <c r="J324" s="67"/>
      <c r="K324" s="67"/>
      <c r="L324" s="67"/>
      <c r="M324" s="67"/>
      <c r="N324" s="67"/>
      <c r="O324" s="67">
        <f t="shared" si="18"/>
        <v>53</v>
      </c>
      <c r="P324" s="67">
        <f>IF(B324="", 0, IFERROR(MIN(C324+D324, VLOOKUP(B324, '💳 Debt Input'!$A:$G, 4, FALSE)), 0))</f>
        <v>0</v>
      </c>
      <c r="Q324" s="67"/>
    </row>
    <row r="325" spans="1:17" ht="18" customHeight="1" x14ac:dyDescent="0.35">
      <c r="A325" s="28"/>
      <c r="B325" s="26" t="str">
        <f>'💳 Debt Input'!$A$7</f>
        <v>Auto Loan</v>
      </c>
      <c r="C325" s="27">
        <f t="shared" si="19"/>
        <v>0</v>
      </c>
      <c r="D325" s="27">
        <f>ROUND(C325*'💳 Debt Input'!$C$7/12,2)</f>
        <v>0</v>
      </c>
      <c r="E325" s="27">
        <f>IF(B325="", "", MIN(C325+D325, MAX(P325, $F$3 - SUMIFS(E$10:E324, O$10:O324, O325) - SUMIFS(P326:P$1995, O326:O$1995, O325))))</f>
        <v>0</v>
      </c>
      <c r="F325" s="27">
        <f t="shared" si="16"/>
        <v>0</v>
      </c>
      <c r="G325" s="28" t="str">
        <f t="shared" si="17"/>
        <v>Paid off</v>
      </c>
      <c r="H325" s="29"/>
      <c r="J325" s="67"/>
      <c r="K325" s="67"/>
      <c r="L325" s="67"/>
      <c r="M325" s="67"/>
      <c r="N325" s="67"/>
      <c r="O325" s="67">
        <f t="shared" si="18"/>
        <v>53</v>
      </c>
      <c r="P325" s="67">
        <f>IF(B325="", 0, IFERROR(MIN(C325+D325, VLOOKUP(B325, '💳 Debt Input'!$A:$G, 4, FALSE)), 0))</f>
        <v>0</v>
      </c>
      <c r="Q325" s="67"/>
    </row>
    <row r="326" spans="1:17" ht="18" customHeight="1" x14ac:dyDescent="0.35">
      <c r="A326" s="28"/>
      <c r="B326" s="26" t="str">
        <f>'💳 Debt Input'!$A$6</f>
        <v>Personal Loan</v>
      </c>
      <c r="C326" s="27">
        <f t="shared" si="19"/>
        <v>0</v>
      </c>
      <c r="D326" s="27">
        <f>ROUND(C326*'💳 Debt Input'!$C$6/12,2)</f>
        <v>0</v>
      </c>
      <c r="E326" s="27">
        <f>IF(B326="", "", MIN(C326+D326, MAX(P326, $F$3 - SUMIFS(E$10:E325, O$10:O325, O326) - SUMIFS(P327:P$1995, O327:O$1995, O326))))</f>
        <v>0</v>
      </c>
      <c r="F326" s="27">
        <f t="shared" si="16"/>
        <v>0</v>
      </c>
      <c r="G326" s="28" t="str">
        <f t="shared" si="17"/>
        <v>Paid off</v>
      </c>
      <c r="H326" s="29"/>
      <c r="J326" s="67"/>
      <c r="K326" s="67"/>
      <c r="L326" s="67"/>
      <c r="M326" s="67"/>
      <c r="N326" s="67"/>
      <c r="O326" s="67">
        <f t="shared" si="18"/>
        <v>53</v>
      </c>
      <c r="P326" s="67">
        <f>IF(B326="", 0, IFERROR(MIN(C326+D326, VLOOKUP(B326, '💳 Debt Input'!$A:$G, 4, FALSE)), 0))</f>
        <v>0</v>
      </c>
      <c r="Q326" s="67"/>
    </row>
    <row r="327" spans="1:17" ht="18" customHeight="1" x14ac:dyDescent="0.35">
      <c r="A327" s="28"/>
      <c r="B327" s="26" t="str">
        <f>'💳 Debt Input'!$A$5</f>
        <v>Medical Bill</v>
      </c>
      <c r="C327" s="27">
        <f t="shared" si="19"/>
        <v>0</v>
      </c>
      <c r="D327" s="27">
        <f>ROUND(C327*'💳 Debt Input'!$C$5/12,2)</f>
        <v>0</v>
      </c>
      <c r="E327" s="27">
        <f>IF(B327="", "", MIN(C327+D327, MAX(P327, $F$3 - SUMIFS(E$10:E326, O$10:O326, O327) - SUMIFS(P328:P$1995, O328:O$1995, O327))))</f>
        <v>0</v>
      </c>
      <c r="F327" s="27">
        <f t="shared" si="16"/>
        <v>0</v>
      </c>
      <c r="G327" s="28" t="str">
        <f t="shared" si="17"/>
        <v>Paid off</v>
      </c>
      <c r="H327" s="29"/>
      <c r="J327" s="67"/>
      <c r="K327" s="67"/>
      <c r="L327" s="67"/>
      <c r="M327" s="67"/>
      <c r="N327" s="67"/>
      <c r="O327" s="67">
        <f t="shared" si="18"/>
        <v>53</v>
      </c>
      <c r="P327" s="67">
        <f>IF(B327="", 0, IFERROR(MIN(C327+D327, VLOOKUP(B327, '💳 Debt Input'!$A:$G, 4, FALSE)), 0))</f>
        <v>0</v>
      </c>
      <c r="Q327" s="67"/>
    </row>
    <row r="328" spans="1:17" ht="18" customHeight="1" x14ac:dyDescent="0.35">
      <c r="A328" s="28"/>
      <c r="B328" s="26" t="str">
        <f>'💳 Debt Input'!$A$4</f>
        <v>Store Card</v>
      </c>
      <c r="C328" s="27">
        <f t="shared" si="19"/>
        <v>0</v>
      </c>
      <c r="D328" s="27">
        <f>ROUND(C328*'💳 Debt Input'!$C$4/12,2)</f>
        <v>0</v>
      </c>
      <c r="E328" s="27">
        <f>IF(B328="", "", MIN(C328+D328, MAX(P328, $F$3 - SUMIFS(E$10:E327, O$10:O327, O328) - SUMIFS(P329:P$1995, O329:O$1995, O328))))</f>
        <v>0</v>
      </c>
      <c r="F328" s="27">
        <f t="shared" si="16"/>
        <v>0</v>
      </c>
      <c r="G328" s="28" t="str">
        <f t="shared" si="17"/>
        <v>Paid off</v>
      </c>
      <c r="H328" s="29"/>
      <c r="J328" s="67"/>
      <c r="K328" s="67"/>
      <c r="L328" s="67"/>
      <c r="M328" s="67"/>
      <c r="N328" s="67"/>
      <c r="O328" s="67">
        <f t="shared" si="18"/>
        <v>53</v>
      </c>
      <c r="P328" s="67">
        <f>IF(B328="", 0, IFERROR(MIN(C328+D328, VLOOKUP(B328, '💳 Debt Input'!$A:$G, 4, FALSE)), 0))</f>
        <v>0</v>
      </c>
      <c r="Q328" s="67"/>
    </row>
    <row r="329" spans="1:17" ht="18" customHeight="1" x14ac:dyDescent="0.35">
      <c r="A329" s="21">
        <v>54</v>
      </c>
      <c r="B329" s="6" t="str">
        <f>'💳 Debt Input'!$A$9</f>
        <v>Rewards Visa</v>
      </c>
      <c r="C329" s="12">
        <f t="shared" si="19"/>
        <v>1608.87</v>
      </c>
      <c r="D329" s="12">
        <f>ROUND(C329*'💳 Debt Input'!$C$9/12,2)</f>
        <v>48.27</v>
      </c>
      <c r="E329" s="12">
        <f>IF(B329="", "", MIN(C329+D329, MAX(P329, $F$3 - SUMIFS(E$10:E328, O$10:O328, O329) - SUMIFS(P330:P$1995, O330:O$1995, O329))))</f>
        <v>1010</v>
      </c>
      <c r="F329" s="12">
        <f t="shared" si="16"/>
        <v>647.14</v>
      </c>
      <c r="G329" s="22" t="str">
        <f t="shared" si="17"/>
        <v>Active</v>
      </c>
      <c r="H329" s="23"/>
      <c r="J329" s="67"/>
      <c r="K329" s="67"/>
      <c r="L329" s="67"/>
      <c r="M329" s="67"/>
      <c r="N329" s="67"/>
      <c r="O329" s="67">
        <f t="shared" si="18"/>
        <v>54</v>
      </c>
      <c r="P329" s="67">
        <f>IF(B329="", 0, IFERROR(MIN(C329+D329, VLOOKUP(B329, '💳 Debt Input'!$A:$G, 4, FALSE)), 0))</f>
        <v>480</v>
      </c>
      <c r="Q329" s="67"/>
    </row>
    <row r="330" spans="1:17" ht="18" customHeight="1" x14ac:dyDescent="0.35">
      <c r="A330" s="28"/>
      <c r="B330" s="26" t="str">
        <f>'💳 Debt Input'!$A$8</f>
        <v>Travel Card</v>
      </c>
      <c r="C330" s="27">
        <f t="shared" si="19"/>
        <v>0</v>
      </c>
      <c r="D330" s="27">
        <f>ROUND(C330*'💳 Debt Input'!$C$8/12,2)</f>
        <v>0</v>
      </c>
      <c r="E330" s="27">
        <f>IF(B330="", "", MIN(C330+D330, MAX(P330, $F$3 - SUMIFS(E$10:E329, O$10:O329, O330) - SUMIFS(P331:P$1995, O331:O$1995, O330))))</f>
        <v>0</v>
      </c>
      <c r="F330" s="27">
        <f t="shared" si="16"/>
        <v>0</v>
      </c>
      <c r="G330" s="28" t="str">
        <f t="shared" si="17"/>
        <v>Paid off</v>
      </c>
      <c r="H330" s="29"/>
      <c r="J330" s="67"/>
      <c r="K330" s="67"/>
      <c r="L330" s="67"/>
      <c r="M330" s="67"/>
      <c r="N330" s="67"/>
      <c r="O330" s="67">
        <f t="shared" si="18"/>
        <v>54</v>
      </c>
      <c r="P330" s="67">
        <f>IF(B330="", 0, IFERROR(MIN(C330+D330, VLOOKUP(B330, '💳 Debt Input'!$A:$G, 4, FALSE)), 0))</f>
        <v>0</v>
      </c>
      <c r="Q330" s="67"/>
    </row>
    <row r="331" spans="1:17" ht="18" customHeight="1" x14ac:dyDescent="0.35">
      <c r="A331" s="28"/>
      <c r="B331" s="26" t="str">
        <f>'💳 Debt Input'!$A$7</f>
        <v>Auto Loan</v>
      </c>
      <c r="C331" s="27">
        <f t="shared" si="19"/>
        <v>0</v>
      </c>
      <c r="D331" s="27">
        <f>ROUND(C331*'💳 Debt Input'!$C$7/12,2)</f>
        <v>0</v>
      </c>
      <c r="E331" s="27">
        <f>IF(B331="", "", MIN(C331+D331, MAX(P331, $F$3 - SUMIFS(E$10:E330, O$10:O330, O331) - SUMIFS(P332:P$1995, O332:O$1995, O331))))</f>
        <v>0</v>
      </c>
      <c r="F331" s="27">
        <f t="shared" ref="F331:F394" si="20">ROUND(MAX(0,C331+D331-E331),2)</f>
        <v>0</v>
      </c>
      <c r="G331" s="28" t="str">
        <f t="shared" ref="G331:G394" si="21">IF(F331=0,"Paid off","Active")</f>
        <v>Paid off</v>
      </c>
      <c r="H331" s="29"/>
      <c r="J331" s="67"/>
      <c r="K331" s="67"/>
      <c r="L331" s="67"/>
      <c r="M331" s="67"/>
      <c r="N331" s="67"/>
      <c r="O331" s="67">
        <f t="shared" ref="O331:O394" si="22">IF(A331&lt;&gt;"", A331, O330)</f>
        <v>54</v>
      </c>
      <c r="P331" s="67">
        <f>IF(B331="", 0, IFERROR(MIN(C331+D331, VLOOKUP(B331, '💳 Debt Input'!$A:$G, 4, FALSE)), 0))</f>
        <v>0</v>
      </c>
      <c r="Q331" s="67"/>
    </row>
    <row r="332" spans="1:17" ht="18" customHeight="1" x14ac:dyDescent="0.35">
      <c r="A332" s="28"/>
      <c r="B332" s="26" t="str">
        <f>'💳 Debt Input'!$A$6</f>
        <v>Personal Loan</v>
      </c>
      <c r="C332" s="27">
        <f t="shared" si="19"/>
        <v>0</v>
      </c>
      <c r="D332" s="27">
        <f>ROUND(C332*'💳 Debt Input'!$C$6/12,2)</f>
        <v>0</v>
      </c>
      <c r="E332" s="27">
        <f>IF(B332="", "", MIN(C332+D332, MAX(P332, $F$3 - SUMIFS(E$10:E331, O$10:O331, O332) - SUMIFS(P333:P$1995, O333:O$1995, O332))))</f>
        <v>0</v>
      </c>
      <c r="F332" s="27">
        <f t="shared" si="20"/>
        <v>0</v>
      </c>
      <c r="G332" s="28" t="str">
        <f t="shared" si="21"/>
        <v>Paid off</v>
      </c>
      <c r="H332" s="29"/>
      <c r="J332" s="67"/>
      <c r="K332" s="67"/>
      <c r="L332" s="67"/>
      <c r="M332" s="67"/>
      <c r="N332" s="67"/>
      <c r="O332" s="67">
        <f t="shared" si="22"/>
        <v>54</v>
      </c>
      <c r="P332" s="67">
        <f>IF(B332="", 0, IFERROR(MIN(C332+D332, VLOOKUP(B332, '💳 Debt Input'!$A:$G, 4, FALSE)), 0))</f>
        <v>0</v>
      </c>
      <c r="Q332" s="67"/>
    </row>
    <row r="333" spans="1:17" ht="18" customHeight="1" x14ac:dyDescent="0.35">
      <c r="A333" s="28"/>
      <c r="B333" s="26" t="str">
        <f>'💳 Debt Input'!$A$5</f>
        <v>Medical Bill</v>
      </c>
      <c r="C333" s="27">
        <f t="shared" si="19"/>
        <v>0</v>
      </c>
      <c r="D333" s="27">
        <f>ROUND(C333*'💳 Debt Input'!$C$5/12,2)</f>
        <v>0</v>
      </c>
      <c r="E333" s="27">
        <f>IF(B333="", "", MIN(C333+D333, MAX(P333, $F$3 - SUMIFS(E$10:E332, O$10:O332, O333) - SUMIFS(P334:P$1995, O334:O$1995, O333))))</f>
        <v>0</v>
      </c>
      <c r="F333" s="27">
        <f t="shared" si="20"/>
        <v>0</v>
      </c>
      <c r="G333" s="28" t="str">
        <f t="shared" si="21"/>
        <v>Paid off</v>
      </c>
      <c r="H333" s="29"/>
      <c r="J333" s="67"/>
      <c r="K333" s="67"/>
      <c r="L333" s="67"/>
      <c r="M333" s="67"/>
      <c r="N333" s="67"/>
      <c r="O333" s="67">
        <f t="shared" si="22"/>
        <v>54</v>
      </c>
      <c r="P333" s="67">
        <f>IF(B333="", 0, IFERROR(MIN(C333+D333, VLOOKUP(B333, '💳 Debt Input'!$A:$G, 4, FALSE)), 0))</f>
        <v>0</v>
      </c>
      <c r="Q333" s="67"/>
    </row>
    <row r="334" spans="1:17" ht="18" customHeight="1" x14ac:dyDescent="0.35">
      <c r="A334" s="28"/>
      <c r="B334" s="26" t="str">
        <f>'💳 Debt Input'!$A$4</f>
        <v>Store Card</v>
      </c>
      <c r="C334" s="27">
        <f t="shared" si="19"/>
        <v>0</v>
      </c>
      <c r="D334" s="27">
        <f>ROUND(C334*'💳 Debt Input'!$C$4/12,2)</f>
        <v>0</v>
      </c>
      <c r="E334" s="27">
        <f>IF(B334="", "", MIN(C334+D334, MAX(P334, $F$3 - SUMIFS(E$10:E333, O$10:O333, O334) - SUMIFS(P335:P$1995, O335:O$1995, O334))))</f>
        <v>0</v>
      </c>
      <c r="F334" s="27">
        <f t="shared" si="20"/>
        <v>0</v>
      </c>
      <c r="G334" s="28" t="str">
        <f t="shared" si="21"/>
        <v>Paid off</v>
      </c>
      <c r="H334" s="29"/>
      <c r="J334" s="67"/>
      <c r="K334" s="67"/>
      <c r="L334" s="67"/>
      <c r="M334" s="67"/>
      <c r="N334" s="67"/>
      <c r="O334" s="67">
        <f t="shared" si="22"/>
        <v>54</v>
      </c>
      <c r="P334" s="67">
        <f>IF(B334="", 0, IFERROR(MIN(C334+D334, VLOOKUP(B334, '💳 Debt Input'!$A:$G, 4, FALSE)), 0))</f>
        <v>0</v>
      </c>
      <c r="Q334" s="67"/>
    </row>
    <row r="335" spans="1:17" ht="18" customHeight="1" x14ac:dyDescent="0.35">
      <c r="A335" s="24">
        <v>55</v>
      </c>
      <c r="B335" s="8" t="str">
        <f>'💳 Debt Input'!$A$9</f>
        <v>Rewards Visa</v>
      </c>
      <c r="C335" s="10">
        <f t="shared" si="19"/>
        <v>647.14</v>
      </c>
      <c r="D335" s="10">
        <f>ROUND(C335*'💳 Debt Input'!$C$9/12,2)</f>
        <v>19.41</v>
      </c>
      <c r="E335" s="10">
        <f>IF(B335="", "", MIN(C335+D335, MAX(P335, $F$3 - SUMIFS(E$10:E334, O$10:O334, O335) - SUMIFS(P336:P$1995, O336:O$1995, O335))))</f>
        <v>666.55</v>
      </c>
      <c r="F335" s="10">
        <f t="shared" si="20"/>
        <v>0</v>
      </c>
      <c r="G335" s="19" t="str">
        <f t="shared" si="21"/>
        <v>Paid off</v>
      </c>
      <c r="H335" s="20"/>
      <c r="J335" s="67"/>
      <c r="K335" s="67"/>
      <c r="L335" s="67"/>
      <c r="M335" s="67"/>
      <c r="N335" s="67"/>
      <c r="O335" s="67">
        <f t="shared" si="22"/>
        <v>55</v>
      </c>
      <c r="P335" s="67">
        <f>IF(B335="", 0, IFERROR(MIN(C335+D335, VLOOKUP(B335, '💳 Debt Input'!$A:$G, 4, FALSE)), 0))</f>
        <v>480</v>
      </c>
      <c r="Q335" s="67"/>
    </row>
    <row r="336" spans="1:17" ht="18" customHeight="1" x14ac:dyDescent="0.35">
      <c r="A336" s="28"/>
      <c r="B336" s="26" t="str">
        <f>'💳 Debt Input'!$A$8</f>
        <v>Travel Card</v>
      </c>
      <c r="C336" s="27">
        <f t="shared" si="19"/>
        <v>0</v>
      </c>
      <c r="D336" s="27">
        <f>ROUND(C336*'💳 Debt Input'!$C$8/12,2)</f>
        <v>0</v>
      </c>
      <c r="E336" s="27">
        <f>IF(B336="", "", MIN(C336+D336, MAX(P336, $F$3 - SUMIFS(E$10:E335, O$10:O335, O336) - SUMIFS(P337:P$1995, O337:O$1995, O336))))</f>
        <v>0</v>
      </c>
      <c r="F336" s="27">
        <f t="shared" si="20"/>
        <v>0</v>
      </c>
      <c r="G336" s="28" t="str">
        <f t="shared" si="21"/>
        <v>Paid off</v>
      </c>
      <c r="H336" s="29"/>
      <c r="J336" s="67"/>
      <c r="K336" s="67"/>
      <c r="L336" s="67"/>
      <c r="M336" s="67"/>
      <c r="N336" s="67"/>
      <c r="O336" s="67">
        <f t="shared" si="22"/>
        <v>55</v>
      </c>
      <c r="P336" s="67">
        <f>IF(B336="", 0, IFERROR(MIN(C336+D336, VLOOKUP(B336, '💳 Debt Input'!$A:$G, 4, FALSE)), 0))</f>
        <v>0</v>
      </c>
      <c r="Q336" s="67"/>
    </row>
    <row r="337" spans="1:17" ht="18" customHeight="1" x14ac:dyDescent="0.35">
      <c r="A337" s="28"/>
      <c r="B337" s="26" t="str">
        <f>'💳 Debt Input'!$A$7</f>
        <v>Auto Loan</v>
      </c>
      <c r="C337" s="27">
        <f t="shared" ref="C337:C394" si="23">F331</f>
        <v>0</v>
      </c>
      <c r="D337" s="27">
        <f>ROUND(C337*'💳 Debt Input'!$C$7/12,2)</f>
        <v>0</v>
      </c>
      <c r="E337" s="27">
        <f>IF(B337="", "", MIN(C337+D337, MAX(P337, $F$3 - SUMIFS(E$10:E336, O$10:O336, O337) - SUMIFS(P338:P$1995, O338:O$1995, O337))))</f>
        <v>0</v>
      </c>
      <c r="F337" s="27">
        <f t="shared" si="20"/>
        <v>0</v>
      </c>
      <c r="G337" s="28" t="str">
        <f t="shared" si="21"/>
        <v>Paid off</v>
      </c>
      <c r="H337" s="29"/>
      <c r="J337" s="67"/>
      <c r="K337" s="67"/>
      <c r="L337" s="67"/>
      <c r="M337" s="67"/>
      <c r="N337" s="67"/>
      <c r="O337" s="67">
        <f t="shared" si="22"/>
        <v>55</v>
      </c>
      <c r="P337" s="67">
        <f>IF(B337="", 0, IFERROR(MIN(C337+D337, VLOOKUP(B337, '💳 Debt Input'!$A:$G, 4, FALSE)), 0))</f>
        <v>0</v>
      </c>
      <c r="Q337" s="67"/>
    </row>
    <row r="338" spans="1:17" ht="18" customHeight="1" x14ac:dyDescent="0.35">
      <c r="A338" s="28"/>
      <c r="B338" s="26" t="str">
        <f>'💳 Debt Input'!$A$6</f>
        <v>Personal Loan</v>
      </c>
      <c r="C338" s="27">
        <f t="shared" si="23"/>
        <v>0</v>
      </c>
      <c r="D338" s="27">
        <f>ROUND(C338*'💳 Debt Input'!$C$6/12,2)</f>
        <v>0</v>
      </c>
      <c r="E338" s="27">
        <f>IF(B338="", "", MIN(C338+D338, MAX(P338, $F$3 - SUMIFS(E$10:E337, O$10:O337, O338) - SUMIFS(P339:P$1995, O339:O$1995, O338))))</f>
        <v>0</v>
      </c>
      <c r="F338" s="27">
        <f t="shared" si="20"/>
        <v>0</v>
      </c>
      <c r="G338" s="28" t="str">
        <f t="shared" si="21"/>
        <v>Paid off</v>
      </c>
      <c r="H338" s="29"/>
      <c r="J338" s="67"/>
      <c r="K338" s="67"/>
      <c r="L338" s="67"/>
      <c r="M338" s="67"/>
      <c r="N338" s="67"/>
      <c r="O338" s="67">
        <f t="shared" si="22"/>
        <v>55</v>
      </c>
      <c r="P338" s="67">
        <f>IF(B338="", 0, IFERROR(MIN(C338+D338, VLOOKUP(B338, '💳 Debt Input'!$A:$G, 4, FALSE)), 0))</f>
        <v>0</v>
      </c>
      <c r="Q338" s="67"/>
    </row>
    <row r="339" spans="1:17" ht="18" customHeight="1" x14ac:dyDescent="0.35">
      <c r="A339" s="28"/>
      <c r="B339" s="26" t="str">
        <f>'💳 Debt Input'!$A$5</f>
        <v>Medical Bill</v>
      </c>
      <c r="C339" s="27">
        <f t="shared" si="23"/>
        <v>0</v>
      </c>
      <c r="D339" s="27">
        <f>ROUND(C339*'💳 Debt Input'!$C$5/12,2)</f>
        <v>0</v>
      </c>
      <c r="E339" s="27">
        <f>IF(B339="", "", MIN(C339+D339, MAX(P339, $F$3 - SUMIFS(E$10:E338, O$10:O338, O339) - SUMIFS(P340:P$1995, O340:O$1995, O339))))</f>
        <v>0</v>
      </c>
      <c r="F339" s="27">
        <f t="shared" si="20"/>
        <v>0</v>
      </c>
      <c r="G339" s="28" t="str">
        <f t="shared" si="21"/>
        <v>Paid off</v>
      </c>
      <c r="H339" s="29"/>
      <c r="J339" s="67"/>
      <c r="K339" s="67"/>
      <c r="L339" s="67"/>
      <c r="M339" s="67"/>
      <c r="N339" s="67"/>
      <c r="O339" s="67">
        <f t="shared" si="22"/>
        <v>55</v>
      </c>
      <c r="P339" s="67">
        <f>IF(B339="", 0, IFERROR(MIN(C339+D339, VLOOKUP(B339, '💳 Debt Input'!$A:$G, 4, FALSE)), 0))</f>
        <v>0</v>
      </c>
      <c r="Q339" s="67"/>
    </row>
    <row r="340" spans="1:17" ht="18" customHeight="1" x14ac:dyDescent="0.35">
      <c r="A340" s="28"/>
      <c r="B340" s="26" t="str">
        <f>'💳 Debt Input'!$A$4</f>
        <v>Store Card</v>
      </c>
      <c r="C340" s="27">
        <f t="shared" si="23"/>
        <v>0</v>
      </c>
      <c r="D340" s="27">
        <f>ROUND(C340*'💳 Debt Input'!$C$4/12,2)</f>
        <v>0</v>
      </c>
      <c r="E340" s="27">
        <f>IF(B340="", "", MIN(C340+D340, MAX(P340, $F$3 - SUMIFS(E$10:E339, O$10:O339, O340) - SUMIFS(P341:P$1995, O341:O$1995, O340))))</f>
        <v>0</v>
      </c>
      <c r="F340" s="27">
        <f t="shared" si="20"/>
        <v>0</v>
      </c>
      <c r="G340" s="28" t="str">
        <f t="shared" si="21"/>
        <v>Paid off</v>
      </c>
      <c r="H340" s="29"/>
      <c r="J340" s="67"/>
      <c r="K340" s="67"/>
      <c r="L340" s="67"/>
      <c r="M340" s="67"/>
      <c r="N340" s="67"/>
      <c r="O340" s="67">
        <f t="shared" si="22"/>
        <v>55</v>
      </c>
      <c r="P340" s="67">
        <f>IF(B340="", 0, IFERROR(MIN(C340+D340, VLOOKUP(B340, '💳 Debt Input'!$A:$G, 4, FALSE)), 0))</f>
        <v>0</v>
      </c>
      <c r="Q340" s="67"/>
    </row>
    <row r="341" spans="1:17" ht="18" customHeight="1" x14ac:dyDescent="0.35">
      <c r="A341" s="21">
        <v>56</v>
      </c>
      <c r="B341" s="6" t="str">
        <f>'💳 Debt Input'!$A$9</f>
        <v>Rewards Visa</v>
      </c>
      <c r="C341" s="12">
        <f t="shared" si="23"/>
        <v>0</v>
      </c>
      <c r="D341" s="12">
        <f>ROUND(C341*'💳 Debt Input'!$C$9/12,2)</f>
        <v>0</v>
      </c>
      <c r="E341" s="12">
        <f>IF(B341="", "", MIN(C341+D341, MAX(P341, $F$3 - SUMIFS(E$10:E340, O$10:O340, O341) - SUMIFS(P342:P$1995, O342:O$1995, O341))))</f>
        <v>0</v>
      </c>
      <c r="F341" s="12">
        <f t="shared" si="20"/>
        <v>0</v>
      </c>
      <c r="G341" s="22" t="str">
        <f t="shared" si="21"/>
        <v>Paid off</v>
      </c>
      <c r="H341" s="23"/>
      <c r="J341" s="67"/>
      <c r="K341" s="67"/>
      <c r="L341" s="67"/>
      <c r="M341" s="67"/>
      <c r="N341" s="67"/>
      <c r="O341" s="67">
        <f t="shared" si="22"/>
        <v>56</v>
      </c>
      <c r="P341" s="67">
        <f>IF(B341="", 0, IFERROR(MIN(C341+D341, VLOOKUP(B341, '💳 Debt Input'!$A:$G, 4, FALSE)), 0))</f>
        <v>0</v>
      </c>
      <c r="Q341" s="67"/>
    </row>
    <row r="342" spans="1:17" ht="18" customHeight="1" x14ac:dyDescent="0.35">
      <c r="A342" s="28"/>
      <c r="B342" s="26" t="str">
        <f>'💳 Debt Input'!$A$8</f>
        <v>Travel Card</v>
      </c>
      <c r="C342" s="27">
        <f t="shared" si="23"/>
        <v>0</v>
      </c>
      <c r="D342" s="27">
        <f>ROUND(C342*'💳 Debt Input'!$C$8/12,2)</f>
        <v>0</v>
      </c>
      <c r="E342" s="27">
        <f>IF(B342="", "", MIN(C342+D342, MAX(P342, $F$3 - SUMIFS(E$10:E341, O$10:O341, O342) - SUMIFS(P343:P$1995, O343:O$1995, O342))))</f>
        <v>0</v>
      </c>
      <c r="F342" s="27">
        <f t="shared" si="20"/>
        <v>0</v>
      </c>
      <c r="G342" s="28" t="str">
        <f t="shared" si="21"/>
        <v>Paid off</v>
      </c>
      <c r="H342" s="29"/>
      <c r="J342" s="67"/>
      <c r="K342" s="67"/>
      <c r="L342" s="67"/>
      <c r="M342" s="67"/>
      <c r="N342" s="67"/>
      <c r="O342" s="67">
        <f t="shared" si="22"/>
        <v>56</v>
      </c>
      <c r="P342" s="67">
        <f>IF(B342="", 0, IFERROR(MIN(C342+D342, VLOOKUP(B342, '💳 Debt Input'!$A:$G, 4, FALSE)), 0))</f>
        <v>0</v>
      </c>
      <c r="Q342" s="67"/>
    </row>
    <row r="343" spans="1:17" ht="18" customHeight="1" x14ac:dyDescent="0.35">
      <c r="A343" s="28"/>
      <c r="B343" s="26" t="str">
        <f>'💳 Debt Input'!$A$7</f>
        <v>Auto Loan</v>
      </c>
      <c r="C343" s="27">
        <f t="shared" si="23"/>
        <v>0</v>
      </c>
      <c r="D343" s="27">
        <f>ROUND(C343*'💳 Debt Input'!$C$7/12,2)</f>
        <v>0</v>
      </c>
      <c r="E343" s="27">
        <f>IF(B343="", "", MIN(C343+D343, MAX(P343, $F$3 - SUMIFS(E$10:E342, O$10:O342, O343) - SUMIFS(P344:P$1995, O344:O$1995, O343))))</f>
        <v>0</v>
      </c>
      <c r="F343" s="27">
        <f t="shared" si="20"/>
        <v>0</v>
      </c>
      <c r="G343" s="28" t="str">
        <f t="shared" si="21"/>
        <v>Paid off</v>
      </c>
      <c r="H343" s="29"/>
      <c r="J343" s="67"/>
      <c r="K343" s="67"/>
      <c r="L343" s="67"/>
      <c r="M343" s="67"/>
      <c r="N343" s="67"/>
      <c r="O343" s="67">
        <f t="shared" si="22"/>
        <v>56</v>
      </c>
      <c r="P343" s="67">
        <f>IF(B343="", 0, IFERROR(MIN(C343+D343, VLOOKUP(B343, '💳 Debt Input'!$A:$G, 4, FALSE)), 0))</f>
        <v>0</v>
      </c>
      <c r="Q343" s="67"/>
    </row>
    <row r="344" spans="1:17" ht="18" customHeight="1" x14ac:dyDescent="0.35">
      <c r="A344" s="28"/>
      <c r="B344" s="26" t="str">
        <f>'💳 Debt Input'!$A$6</f>
        <v>Personal Loan</v>
      </c>
      <c r="C344" s="27">
        <f t="shared" si="23"/>
        <v>0</v>
      </c>
      <c r="D344" s="27">
        <f>ROUND(C344*'💳 Debt Input'!$C$6/12,2)</f>
        <v>0</v>
      </c>
      <c r="E344" s="27">
        <f>IF(B344="", "", MIN(C344+D344, MAX(P344, $F$3 - SUMIFS(E$10:E343, O$10:O343, O344) - SUMIFS(P345:P$1995, O345:O$1995, O344))))</f>
        <v>0</v>
      </c>
      <c r="F344" s="27">
        <f t="shared" si="20"/>
        <v>0</v>
      </c>
      <c r="G344" s="28" t="str">
        <f t="shared" si="21"/>
        <v>Paid off</v>
      </c>
      <c r="H344" s="29"/>
      <c r="J344" s="67"/>
      <c r="K344" s="67"/>
      <c r="L344" s="67"/>
      <c r="M344" s="67"/>
      <c r="N344" s="67"/>
      <c r="O344" s="67">
        <f t="shared" si="22"/>
        <v>56</v>
      </c>
      <c r="P344" s="67">
        <f>IF(B344="", 0, IFERROR(MIN(C344+D344, VLOOKUP(B344, '💳 Debt Input'!$A:$G, 4, FALSE)), 0))</f>
        <v>0</v>
      </c>
      <c r="Q344" s="67"/>
    </row>
    <row r="345" spans="1:17" ht="18" customHeight="1" x14ac:dyDescent="0.35">
      <c r="A345" s="28"/>
      <c r="B345" s="26" t="str">
        <f>'💳 Debt Input'!$A$5</f>
        <v>Medical Bill</v>
      </c>
      <c r="C345" s="27">
        <f t="shared" si="23"/>
        <v>0</v>
      </c>
      <c r="D345" s="27">
        <f>ROUND(C345*'💳 Debt Input'!$C$5/12,2)</f>
        <v>0</v>
      </c>
      <c r="E345" s="27">
        <f>IF(B345="", "", MIN(C345+D345, MAX(P345, $F$3 - SUMIFS(E$10:E344, O$10:O344, O345) - SUMIFS(P346:P$1995, O346:O$1995, O345))))</f>
        <v>0</v>
      </c>
      <c r="F345" s="27">
        <f t="shared" si="20"/>
        <v>0</v>
      </c>
      <c r="G345" s="28" t="str">
        <f t="shared" si="21"/>
        <v>Paid off</v>
      </c>
      <c r="H345" s="29"/>
      <c r="J345" s="67"/>
      <c r="K345" s="67"/>
      <c r="L345" s="67"/>
      <c r="M345" s="67"/>
      <c r="N345" s="67"/>
      <c r="O345" s="67">
        <f t="shared" si="22"/>
        <v>56</v>
      </c>
      <c r="P345" s="67">
        <f>IF(B345="", 0, IFERROR(MIN(C345+D345, VLOOKUP(B345, '💳 Debt Input'!$A:$G, 4, FALSE)), 0))</f>
        <v>0</v>
      </c>
      <c r="Q345" s="67"/>
    </row>
    <row r="346" spans="1:17" ht="18" customHeight="1" x14ac:dyDescent="0.35">
      <c r="A346" s="28"/>
      <c r="B346" s="26" t="str">
        <f>'💳 Debt Input'!$A$4</f>
        <v>Store Card</v>
      </c>
      <c r="C346" s="27">
        <f t="shared" si="23"/>
        <v>0</v>
      </c>
      <c r="D346" s="27">
        <f>ROUND(C346*'💳 Debt Input'!$C$4/12,2)</f>
        <v>0</v>
      </c>
      <c r="E346" s="27">
        <f>IF(B346="", "", MIN(C346+D346, MAX(P346, $F$3 - SUMIFS(E$10:E345, O$10:O345, O346) - SUMIFS(P347:P$1995, O347:O$1995, O346))))</f>
        <v>0</v>
      </c>
      <c r="F346" s="27">
        <f t="shared" si="20"/>
        <v>0</v>
      </c>
      <c r="G346" s="28" t="str">
        <f t="shared" si="21"/>
        <v>Paid off</v>
      </c>
      <c r="H346" s="29"/>
      <c r="J346" s="67"/>
      <c r="K346" s="67"/>
      <c r="L346" s="67"/>
      <c r="M346" s="67"/>
      <c r="N346" s="67"/>
      <c r="O346" s="67">
        <f t="shared" si="22"/>
        <v>56</v>
      </c>
      <c r="P346" s="67">
        <f>IF(B346="", 0, IFERROR(MIN(C346+D346, VLOOKUP(B346, '💳 Debt Input'!$A:$G, 4, FALSE)), 0))</f>
        <v>0</v>
      </c>
      <c r="Q346" s="67"/>
    </row>
    <row r="347" spans="1:17" ht="18" customHeight="1" x14ac:dyDescent="0.35">
      <c r="A347" s="24">
        <v>57</v>
      </c>
      <c r="B347" s="8" t="str">
        <f>'💳 Debt Input'!$A$9</f>
        <v>Rewards Visa</v>
      </c>
      <c r="C347" s="10">
        <f t="shared" si="23"/>
        <v>0</v>
      </c>
      <c r="D347" s="10">
        <f>ROUND(C347*'💳 Debt Input'!$C$9/12,2)</f>
        <v>0</v>
      </c>
      <c r="E347" s="10">
        <f>IF(B347="", "", MIN(C347+D347, MAX(P347, $F$3 - SUMIFS(E$10:E346, O$10:O346, O347) - SUMIFS(P348:P$1995, O348:O$1995, O347))))</f>
        <v>0</v>
      </c>
      <c r="F347" s="10">
        <f t="shared" si="20"/>
        <v>0</v>
      </c>
      <c r="G347" s="19" t="str">
        <f t="shared" si="21"/>
        <v>Paid off</v>
      </c>
      <c r="H347" s="20"/>
      <c r="J347" s="67"/>
      <c r="K347" s="67"/>
      <c r="L347" s="67"/>
      <c r="M347" s="67"/>
      <c r="N347" s="67"/>
      <c r="O347" s="67">
        <f t="shared" si="22"/>
        <v>57</v>
      </c>
      <c r="P347" s="67">
        <f>IF(B347="", 0, IFERROR(MIN(C347+D347, VLOOKUP(B347, '💳 Debt Input'!$A:$G, 4, FALSE)), 0))</f>
        <v>0</v>
      </c>
      <c r="Q347" s="67"/>
    </row>
    <row r="348" spans="1:17" ht="18" customHeight="1" x14ac:dyDescent="0.35">
      <c r="A348" s="28"/>
      <c r="B348" s="26" t="str">
        <f>'💳 Debt Input'!$A$8</f>
        <v>Travel Card</v>
      </c>
      <c r="C348" s="27">
        <f t="shared" si="23"/>
        <v>0</v>
      </c>
      <c r="D348" s="27">
        <f>ROUND(C348*'💳 Debt Input'!$C$8/12,2)</f>
        <v>0</v>
      </c>
      <c r="E348" s="27">
        <f>IF(B348="", "", MIN(C348+D348, MAX(P348, $F$3 - SUMIFS(E$10:E347, O$10:O347, O348) - SUMIFS(P349:P$1995, O349:O$1995, O348))))</f>
        <v>0</v>
      </c>
      <c r="F348" s="27">
        <f t="shared" si="20"/>
        <v>0</v>
      </c>
      <c r="G348" s="28" t="str">
        <f t="shared" si="21"/>
        <v>Paid off</v>
      </c>
      <c r="H348" s="29"/>
      <c r="J348" s="67"/>
      <c r="K348" s="67"/>
      <c r="L348" s="67"/>
      <c r="M348" s="67"/>
      <c r="N348" s="67"/>
      <c r="O348" s="67">
        <f t="shared" si="22"/>
        <v>57</v>
      </c>
      <c r="P348" s="67">
        <f>IF(B348="", 0, IFERROR(MIN(C348+D348, VLOOKUP(B348, '💳 Debt Input'!$A:$G, 4, FALSE)), 0))</f>
        <v>0</v>
      </c>
      <c r="Q348" s="67"/>
    </row>
    <row r="349" spans="1:17" ht="18" customHeight="1" x14ac:dyDescent="0.35">
      <c r="A349" s="28"/>
      <c r="B349" s="26" t="str">
        <f>'💳 Debt Input'!$A$7</f>
        <v>Auto Loan</v>
      </c>
      <c r="C349" s="27">
        <f t="shared" si="23"/>
        <v>0</v>
      </c>
      <c r="D349" s="27">
        <f>ROUND(C349*'💳 Debt Input'!$C$7/12,2)</f>
        <v>0</v>
      </c>
      <c r="E349" s="27">
        <f>IF(B349="", "", MIN(C349+D349, MAX(P349, $F$3 - SUMIFS(E$10:E348, O$10:O348, O349) - SUMIFS(P350:P$1995, O350:O$1995, O349))))</f>
        <v>0</v>
      </c>
      <c r="F349" s="27">
        <f t="shared" si="20"/>
        <v>0</v>
      </c>
      <c r="G349" s="28" t="str">
        <f t="shared" si="21"/>
        <v>Paid off</v>
      </c>
      <c r="H349" s="29"/>
      <c r="J349" s="67"/>
      <c r="K349" s="67"/>
      <c r="L349" s="67"/>
      <c r="M349" s="67"/>
      <c r="N349" s="67"/>
      <c r="O349" s="67">
        <f t="shared" si="22"/>
        <v>57</v>
      </c>
      <c r="P349" s="67">
        <f>IF(B349="", 0, IFERROR(MIN(C349+D349, VLOOKUP(B349, '💳 Debt Input'!$A:$G, 4, FALSE)), 0))</f>
        <v>0</v>
      </c>
      <c r="Q349" s="67"/>
    </row>
    <row r="350" spans="1:17" ht="18" customHeight="1" x14ac:dyDescent="0.35">
      <c r="A350" s="28"/>
      <c r="B350" s="26" t="str">
        <f>'💳 Debt Input'!$A$6</f>
        <v>Personal Loan</v>
      </c>
      <c r="C350" s="27">
        <f t="shared" si="23"/>
        <v>0</v>
      </c>
      <c r="D350" s="27">
        <f>ROUND(C350*'💳 Debt Input'!$C$6/12,2)</f>
        <v>0</v>
      </c>
      <c r="E350" s="27">
        <f>IF(B350="", "", MIN(C350+D350, MAX(P350, $F$3 - SUMIFS(E$10:E349, O$10:O349, O350) - SUMIFS(P351:P$1995, O351:O$1995, O350))))</f>
        <v>0</v>
      </c>
      <c r="F350" s="27">
        <f t="shared" si="20"/>
        <v>0</v>
      </c>
      <c r="G350" s="28" t="str">
        <f t="shared" si="21"/>
        <v>Paid off</v>
      </c>
      <c r="H350" s="29"/>
      <c r="J350" s="67"/>
      <c r="K350" s="67"/>
      <c r="L350" s="67"/>
      <c r="M350" s="67"/>
      <c r="N350" s="67"/>
      <c r="O350" s="67">
        <f t="shared" si="22"/>
        <v>57</v>
      </c>
      <c r="P350" s="67">
        <f>IF(B350="", 0, IFERROR(MIN(C350+D350, VLOOKUP(B350, '💳 Debt Input'!$A:$G, 4, FALSE)), 0))</f>
        <v>0</v>
      </c>
      <c r="Q350" s="67"/>
    </row>
    <row r="351" spans="1:17" ht="18" customHeight="1" x14ac:dyDescent="0.35">
      <c r="A351" s="28"/>
      <c r="B351" s="26" t="str">
        <f>'💳 Debt Input'!$A$5</f>
        <v>Medical Bill</v>
      </c>
      <c r="C351" s="27">
        <f t="shared" si="23"/>
        <v>0</v>
      </c>
      <c r="D351" s="27">
        <f>ROUND(C351*'💳 Debt Input'!$C$5/12,2)</f>
        <v>0</v>
      </c>
      <c r="E351" s="27">
        <f>IF(B351="", "", MIN(C351+D351, MAX(P351, $F$3 - SUMIFS(E$10:E350, O$10:O350, O351) - SUMIFS(P352:P$1995, O352:O$1995, O351))))</f>
        <v>0</v>
      </c>
      <c r="F351" s="27">
        <f t="shared" si="20"/>
        <v>0</v>
      </c>
      <c r="G351" s="28" t="str">
        <f t="shared" si="21"/>
        <v>Paid off</v>
      </c>
      <c r="H351" s="29"/>
      <c r="J351" s="67"/>
      <c r="K351" s="67"/>
      <c r="L351" s="67"/>
      <c r="M351" s="67"/>
      <c r="N351" s="67"/>
      <c r="O351" s="67">
        <f t="shared" si="22"/>
        <v>57</v>
      </c>
      <c r="P351" s="67">
        <f>IF(B351="", 0, IFERROR(MIN(C351+D351, VLOOKUP(B351, '💳 Debt Input'!$A:$G, 4, FALSE)), 0))</f>
        <v>0</v>
      </c>
      <c r="Q351" s="67"/>
    </row>
    <row r="352" spans="1:17" ht="18" customHeight="1" x14ac:dyDescent="0.35">
      <c r="A352" s="28"/>
      <c r="B352" s="26" t="str">
        <f>'💳 Debt Input'!$A$4</f>
        <v>Store Card</v>
      </c>
      <c r="C352" s="27">
        <f t="shared" si="23"/>
        <v>0</v>
      </c>
      <c r="D352" s="27">
        <f>ROUND(C352*'💳 Debt Input'!$C$4/12,2)</f>
        <v>0</v>
      </c>
      <c r="E352" s="27">
        <f>IF(B352="", "", MIN(C352+D352, MAX(P352, $F$3 - SUMIFS(E$10:E351, O$10:O351, O352) - SUMIFS(P353:P$1995, O353:O$1995, O352))))</f>
        <v>0</v>
      </c>
      <c r="F352" s="27">
        <f t="shared" si="20"/>
        <v>0</v>
      </c>
      <c r="G352" s="28" t="str">
        <f t="shared" si="21"/>
        <v>Paid off</v>
      </c>
      <c r="H352" s="29"/>
      <c r="J352" s="67"/>
      <c r="K352" s="67"/>
      <c r="L352" s="67"/>
      <c r="M352" s="67"/>
      <c r="N352" s="67"/>
      <c r="O352" s="67">
        <f t="shared" si="22"/>
        <v>57</v>
      </c>
      <c r="P352" s="67">
        <f>IF(B352="", 0, IFERROR(MIN(C352+D352, VLOOKUP(B352, '💳 Debt Input'!$A:$G, 4, FALSE)), 0))</f>
        <v>0</v>
      </c>
      <c r="Q352" s="67"/>
    </row>
    <row r="353" spans="1:17" ht="18" customHeight="1" x14ac:dyDescent="0.35">
      <c r="A353" s="21">
        <v>58</v>
      </c>
      <c r="B353" s="6" t="str">
        <f>'💳 Debt Input'!$A$9</f>
        <v>Rewards Visa</v>
      </c>
      <c r="C353" s="12">
        <f t="shared" si="23"/>
        <v>0</v>
      </c>
      <c r="D353" s="12">
        <f>ROUND(C353*'💳 Debt Input'!$C$9/12,2)</f>
        <v>0</v>
      </c>
      <c r="E353" s="12">
        <f>IF(B353="", "", MIN(C353+D353, MAX(P353, $F$3 - SUMIFS(E$10:E352, O$10:O352, O353) - SUMIFS(P354:P$1995, O354:O$1995, O353))))</f>
        <v>0</v>
      </c>
      <c r="F353" s="12">
        <f t="shared" si="20"/>
        <v>0</v>
      </c>
      <c r="G353" s="22" t="str">
        <f t="shared" si="21"/>
        <v>Paid off</v>
      </c>
      <c r="H353" s="23"/>
      <c r="J353" s="67"/>
      <c r="K353" s="67"/>
      <c r="L353" s="67"/>
      <c r="M353" s="67"/>
      <c r="N353" s="67"/>
      <c r="O353" s="67">
        <f t="shared" si="22"/>
        <v>58</v>
      </c>
      <c r="P353" s="67">
        <f>IF(B353="", 0, IFERROR(MIN(C353+D353, VLOOKUP(B353, '💳 Debt Input'!$A:$G, 4, FALSE)), 0))</f>
        <v>0</v>
      </c>
      <c r="Q353" s="67"/>
    </row>
    <row r="354" spans="1:17" ht="18" customHeight="1" x14ac:dyDescent="0.35">
      <c r="A354" s="28"/>
      <c r="B354" s="26" t="str">
        <f>'💳 Debt Input'!$A$8</f>
        <v>Travel Card</v>
      </c>
      <c r="C354" s="27">
        <f t="shared" si="23"/>
        <v>0</v>
      </c>
      <c r="D354" s="27">
        <f>ROUND(C354*'💳 Debt Input'!$C$8/12,2)</f>
        <v>0</v>
      </c>
      <c r="E354" s="27">
        <f>IF(B354="", "", MIN(C354+D354, MAX(P354, $F$3 - SUMIFS(E$10:E353, O$10:O353, O354) - SUMIFS(P355:P$1995, O355:O$1995, O354))))</f>
        <v>0</v>
      </c>
      <c r="F354" s="27">
        <f t="shared" si="20"/>
        <v>0</v>
      </c>
      <c r="G354" s="28" t="str">
        <f t="shared" si="21"/>
        <v>Paid off</v>
      </c>
      <c r="H354" s="29"/>
      <c r="J354" s="67"/>
      <c r="K354" s="67"/>
      <c r="L354" s="67"/>
      <c r="M354" s="67"/>
      <c r="N354" s="67"/>
      <c r="O354" s="67">
        <f t="shared" si="22"/>
        <v>58</v>
      </c>
      <c r="P354" s="67">
        <f>IF(B354="", 0, IFERROR(MIN(C354+D354, VLOOKUP(B354, '💳 Debt Input'!$A:$G, 4, FALSE)), 0))</f>
        <v>0</v>
      </c>
      <c r="Q354" s="67"/>
    </row>
    <row r="355" spans="1:17" ht="18" customHeight="1" x14ac:dyDescent="0.35">
      <c r="A355" s="28"/>
      <c r="B355" s="26" t="str">
        <f>'💳 Debt Input'!$A$7</f>
        <v>Auto Loan</v>
      </c>
      <c r="C355" s="27">
        <f t="shared" si="23"/>
        <v>0</v>
      </c>
      <c r="D355" s="27">
        <f>ROUND(C355*'💳 Debt Input'!$C$7/12,2)</f>
        <v>0</v>
      </c>
      <c r="E355" s="27">
        <f>IF(B355="", "", MIN(C355+D355, MAX(P355, $F$3 - SUMIFS(E$10:E354, O$10:O354, O355) - SUMIFS(P356:P$1995, O356:O$1995, O355))))</f>
        <v>0</v>
      </c>
      <c r="F355" s="27">
        <f t="shared" si="20"/>
        <v>0</v>
      </c>
      <c r="G355" s="28" t="str">
        <f t="shared" si="21"/>
        <v>Paid off</v>
      </c>
      <c r="H355" s="29"/>
      <c r="J355" s="67"/>
      <c r="K355" s="67"/>
      <c r="L355" s="67"/>
      <c r="M355" s="67"/>
      <c r="N355" s="67"/>
      <c r="O355" s="67">
        <f t="shared" si="22"/>
        <v>58</v>
      </c>
      <c r="P355" s="67">
        <f>IF(B355="", 0, IFERROR(MIN(C355+D355, VLOOKUP(B355, '💳 Debt Input'!$A:$G, 4, FALSE)), 0))</f>
        <v>0</v>
      </c>
      <c r="Q355" s="67"/>
    </row>
    <row r="356" spans="1:17" ht="18" customHeight="1" x14ac:dyDescent="0.35">
      <c r="A356" s="28"/>
      <c r="B356" s="26" t="str">
        <f>'💳 Debt Input'!$A$6</f>
        <v>Personal Loan</v>
      </c>
      <c r="C356" s="27">
        <f t="shared" si="23"/>
        <v>0</v>
      </c>
      <c r="D356" s="27">
        <f>ROUND(C356*'💳 Debt Input'!$C$6/12,2)</f>
        <v>0</v>
      </c>
      <c r="E356" s="27">
        <f>IF(B356="", "", MIN(C356+D356, MAX(P356, $F$3 - SUMIFS(E$10:E355, O$10:O355, O356) - SUMIFS(P357:P$1995, O357:O$1995, O356))))</f>
        <v>0</v>
      </c>
      <c r="F356" s="27">
        <f t="shared" si="20"/>
        <v>0</v>
      </c>
      <c r="G356" s="28" t="str">
        <f t="shared" si="21"/>
        <v>Paid off</v>
      </c>
      <c r="H356" s="29"/>
      <c r="J356" s="67"/>
      <c r="K356" s="67"/>
      <c r="L356" s="67"/>
      <c r="M356" s="67"/>
      <c r="N356" s="67"/>
      <c r="O356" s="67">
        <f t="shared" si="22"/>
        <v>58</v>
      </c>
      <c r="P356" s="67">
        <f>IF(B356="", 0, IFERROR(MIN(C356+D356, VLOOKUP(B356, '💳 Debt Input'!$A:$G, 4, FALSE)), 0))</f>
        <v>0</v>
      </c>
      <c r="Q356" s="67"/>
    </row>
    <row r="357" spans="1:17" ht="18" customHeight="1" x14ac:dyDescent="0.35">
      <c r="A357" s="28"/>
      <c r="B357" s="26" t="str">
        <f>'💳 Debt Input'!$A$5</f>
        <v>Medical Bill</v>
      </c>
      <c r="C357" s="27">
        <f t="shared" si="23"/>
        <v>0</v>
      </c>
      <c r="D357" s="27">
        <f>ROUND(C357*'💳 Debt Input'!$C$5/12,2)</f>
        <v>0</v>
      </c>
      <c r="E357" s="27">
        <f>IF(B357="", "", MIN(C357+D357, MAX(P357, $F$3 - SUMIFS(E$10:E356, O$10:O356, O357) - SUMIFS(P358:P$1995, O358:O$1995, O357))))</f>
        <v>0</v>
      </c>
      <c r="F357" s="27">
        <f t="shared" si="20"/>
        <v>0</v>
      </c>
      <c r="G357" s="28" t="str">
        <f t="shared" si="21"/>
        <v>Paid off</v>
      </c>
      <c r="H357" s="29"/>
      <c r="J357" s="67"/>
      <c r="K357" s="67"/>
      <c r="L357" s="67"/>
      <c r="M357" s="67"/>
      <c r="N357" s="67"/>
      <c r="O357" s="67">
        <f t="shared" si="22"/>
        <v>58</v>
      </c>
      <c r="P357" s="67">
        <f>IF(B357="", 0, IFERROR(MIN(C357+D357, VLOOKUP(B357, '💳 Debt Input'!$A:$G, 4, FALSE)), 0))</f>
        <v>0</v>
      </c>
      <c r="Q357" s="67"/>
    </row>
    <row r="358" spans="1:17" ht="18" customHeight="1" x14ac:dyDescent="0.35">
      <c r="A358" s="28"/>
      <c r="B358" s="26" t="str">
        <f>'💳 Debt Input'!$A$4</f>
        <v>Store Card</v>
      </c>
      <c r="C358" s="27">
        <f t="shared" si="23"/>
        <v>0</v>
      </c>
      <c r="D358" s="27">
        <f>ROUND(C358*'💳 Debt Input'!$C$4/12,2)</f>
        <v>0</v>
      </c>
      <c r="E358" s="27">
        <f>IF(B358="", "", MIN(C358+D358, MAX(P358, $F$3 - SUMIFS(E$10:E357, O$10:O357, O358) - SUMIFS(P359:P$1995, O359:O$1995, O358))))</f>
        <v>0</v>
      </c>
      <c r="F358" s="27">
        <f t="shared" si="20"/>
        <v>0</v>
      </c>
      <c r="G358" s="28" t="str">
        <f t="shared" si="21"/>
        <v>Paid off</v>
      </c>
      <c r="H358" s="29"/>
      <c r="J358" s="67"/>
      <c r="K358" s="67"/>
      <c r="L358" s="67"/>
      <c r="M358" s="67"/>
      <c r="N358" s="67"/>
      <c r="O358" s="67">
        <f t="shared" si="22"/>
        <v>58</v>
      </c>
      <c r="P358" s="67">
        <f>IF(B358="", 0, IFERROR(MIN(C358+D358, VLOOKUP(B358, '💳 Debt Input'!$A:$G, 4, FALSE)), 0))</f>
        <v>0</v>
      </c>
      <c r="Q358" s="67"/>
    </row>
    <row r="359" spans="1:17" ht="18" customHeight="1" x14ac:dyDescent="0.35">
      <c r="A359" s="24">
        <v>59</v>
      </c>
      <c r="B359" s="8" t="str">
        <f>'💳 Debt Input'!$A$9</f>
        <v>Rewards Visa</v>
      </c>
      <c r="C359" s="10">
        <f t="shared" si="23"/>
        <v>0</v>
      </c>
      <c r="D359" s="10">
        <f>ROUND(C359*'💳 Debt Input'!$C$9/12,2)</f>
        <v>0</v>
      </c>
      <c r="E359" s="10">
        <f>IF(B359="", "", MIN(C359+D359, MAX(P359, $F$3 - SUMIFS(E$10:E358, O$10:O358, O359) - SUMIFS(P360:P$1995, O360:O$1995, O359))))</f>
        <v>0</v>
      </c>
      <c r="F359" s="10">
        <f t="shared" si="20"/>
        <v>0</v>
      </c>
      <c r="G359" s="19" t="str">
        <f t="shared" si="21"/>
        <v>Paid off</v>
      </c>
      <c r="H359" s="20"/>
      <c r="J359" s="67"/>
      <c r="K359" s="67"/>
      <c r="L359" s="67"/>
      <c r="M359" s="67"/>
      <c r="N359" s="67"/>
      <c r="O359" s="67">
        <f t="shared" si="22"/>
        <v>59</v>
      </c>
      <c r="P359" s="67">
        <f>IF(B359="", 0, IFERROR(MIN(C359+D359, VLOOKUP(B359, '💳 Debt Input'!$A:$G, 4, FALSE)), 0))</f>
        <v>0</v>
      </c>
      <c r="Q359" s="67"/>
    </row>
    <row r="360" spans="1:17" ht="18" customHeight="1" x14ac:dyDescent="0.35">
      <c r="A360" s="28"/>
      <c r="B360" s="26" t="str">
        <f>'💳 Debt Input'!$A$8</f>
        <v>Travel Card</v>
      </c>
      <c r="C360" s="27">
        <f t="shared" si="23"/>
        <v>0</v>
      </c>
      <c r="D360" s="27">
        <f>ROUND(C360*'💳 Debt Input'!$C$8/12,2)</f>
        <v>0</v>
      </c>
      <c r="E360" s="27">
        <f>IF(B360="", "", MIN(C360+D360, MAX(P360, $F$3 - SUMIFS(E$10:E359, O$10:O359, O360) - SUMIFS(P361:P$1995, O361:O$1995, O360))))</f>
        <v>0</v>
      </c>
      <c r="F360" s="27">
        <f t="shared" si="20"/>
        <v>0</v>
      </c>
      <c r="G360" s="28" t="str">
        <f t="shared" si="21"/>
        <v>Paid off</v>
      </c>
      <c r="H360" s="29"/>
      <c r="J360" s="67"/>
      <c r="K360" s="67"/>
      <c r="L360" s="67"/>
      <c r="M360" s="67"/>
      <c r="N360" s="67"/>
      <c r="O360" s="67">
        <f t="shared" si="22"/>
        <v>59</v>
      </c>
      <c r="P360" s="67">
        <f>IF(B360="", 0, IFERROR(MIN(C360+D360, VLOOKUP(B360, '💳 Debt Input'!$A:$G, 4, FALSE)), 0))</f>
        <v>0</v>
      </c>
      <c r="Q360" s="67"/>
    </row>
    <row r="361" spans="1:17" ht="18" customHeight="1" x14ac:dyDescent="0.35">
      <c r="A361" s="28"/>
      <c r="B361" s="26" t="str">
        <f>'💳 Debt Input'!$A$7</f>
        <v>Auto Loan</v>
      </c>
      <c r="C361" s="27">
        <f t="shared" si="23"/>
        <v>0</v>
      </c>
      <c r="D361" s="27">
        <f>ROUND(C361*'💳 Debt Input'!$C$7/12,2)</f>
        <v>0</v>
      </c>
      <c r="E361" s="27">
        <f>IF(B361="", "", MIN(C361+D361, MAX(P361, $F$3 - SUMIFS(E$10:E360, O$10:O360, O361) - SUMIFS(P362:P$1995, O362:O$1995, O361))))</f>
        <v>0</v>
      </c>
      <c r="F361" s="27">
        <f t="shared" si="20"/>
        <v>0</v>
      </c>
      <c r="G361" s="28" t="str">
        <f t="shared" si="21"/>
        <v>Paid off</v>
      </c>
      <c r="H361" s="29"/>
      <c r="J361" s="67"/>
      <c r="K361" s="67"/>
      <c r="L361" s="67"/>
      <c r="M361" s="67"/>
      <c r="N361" s="67"/>
      <c r="O361" s="67">
        <f t="shared" si="22"/>
        <v>59</v>
      </c>
      <c r="P361" s="67">
        <f>IF(B361="", 0, IFERROR(MIN(C361+D361, VLOOKUP(B361, '💳 Debt Input'!$A:$G, 4, FALSE)), 0))</f>
        <v>0</v>
      </c>
      <c r="Q361" s="67"/>
    </row>
    <row r="362" spans="1:17" ht="18" customHeight="1" x14ac:dyDescent="0.35">
      <c r="A362" s="28"/>
      <c r="B362" s="26" t="str">
        <f>'💳 Debt Input'!$A$6</f>
        <v>Personal Loan</v>
      </c>
      <c r="C362" s="27">
        <f t="shared" si="23"/>
        <v>0</v>
      </c>
      <c r="D362" s="27">
        <f>ROUND(C362*'💳 Debt Input'!$C$6/12,2)</f>
        <v>0</v>
      </c>
      <c r="E362" s="27">
        <f>IF(B362="", "", MIN(C362+D362, MAX(P362, $F$3 - SUMIFS(E$10:E361, O$10:O361, O362) - SUMIFS(P363:P$1995, O363:O$1995, O362))))</f>
        <v>0</v>
      </c>
      <c r="F362" s="27">
        <f t="shared" si="20"/>
        <v>0</v>
      </c>
      <c r="G362" s="28" t="str">
        <f t="shared" si="21"/>
        <v>Paid off</v>
      </c>
      <c r="H362" s="29"/>
      <c r="J362" s="67"/>
      <c r="K362" s="67"/>
      <c r="L362" s="67"/>
      <c r="M362" s="67"/>
      <c r="N362" s="67"/>
      <c r="O362" s="67">
        <f t="shared" si="22"/>
        <v>59</v>
      </c>
      <c r="P362" s="67">
        <f>IF(B362="", 0, IFERROR(MIN(C362+D362, VLOOKUP(B362, '💳 Debt Input'!$A:$G, 4, FALSE)), 0))</f>
        <v>0</v>
      </c>
      <c r="Q362" s="67"/>
    </row>
    <row r="363" spans="1:17" ht="18" customHeight="1" x14ac:dyDescent="0.35">
      <c r="A363" s="28"/>
      <c r="B363" s="26" t="str">
        <f>'💳 Debt Input'!$A$5</f>
        <v>Medical Bill</v>
      </c>
      <c r="C363" s="27">
        <f t="shared" si="23"/>
        <v>0</v>
      </c>
      <c r="D363" s="27">
        <f>ROUND(C363*'💳 Debt Input'!$C$5/12,2)</f>
        <v>0</v>
      </c>
      <c r="E363" s="27">
        <f>IF(B363="", "", MIN(C363+D363, MAX(P363, $F$3 - SUMIFS(E$10:E362, O$10:O362, O363) - SUMIFS(P364:P$1995, O364:O$1995, O363))))</f>
        <v>0</v>
      </c>
      <c r="F363" s="27">
        <f t="shared" si="20"/>
        <v>0</v>
      </c>
      <c r="G363" s="28" t="str">
        <f t="shared" si="21"/>
        <v>Paid off</v>
      </c>
      <c r="H363" s="29"/>
      <c r="J363" s="67"/>
      <c r="K363" s="67"/>
      <c r="L363" s="67"/>
      <c r="M363" s="67"/>
      <c r="N363" s="67"/>
      <c r="O363" s="67">
        <f t="shared" si="22"/>
        <v>59</v>
      </c>
      <c r="P363" s="67">
        <f>IF(B363="", 0, IFERROR(MIN(C363+D363, VLOOKUP(B363, '💳 Debt Input'!$A:$G, 4, FALSE)), 0))</f>
        <v>0</v>
      </c>
      <c r="Q363" s="67"/>
    </row>
    <row r="364" spans="1:17" ht="18" customHeight="1" x14ac:dyDescent="0.35">
      <c r="A364" s="28"/>
      <c r="B364" s="26" t="str">
        <f>'💳 Debt Input'!$A$4</f>
        <v>Store Card</v>
      </c>
      <c r="C364" s="27">
        <f t="shared" si="23"/>
        <v>0</v>
      </c>
      <c r="D364" s="27">
        <f>ROUND(C364*'💳 Debt Input'!$C$4/12,2)</f>
        <v>0</v>
      </c>
      <c r="E364" s="27">
        <f>IF(B364="", "", MIN(C364+D364, MAX(P364, $F$3 - SUMIFS(E$10:E363, O$10:O363, O364) - SUMIFS(P365:P$1995, O365:O$1995, O364))))</f>
        <v>0</v>
      </c>
      <c r="F364" s="27">
        <f t="shared" si="20"/>
        <v>0</v>
      </c>
      <c r="G364" s="28" t="str">
        <f t="shared" si="21"/>
        <v>Paid off</v>
      </c>
      <c r="H364" s="29"/>
      <c r="J364" s="67"/>
      <c r="K364" s="67"/>
      <c r="L364" s="67"/>
      <c r="M364" s="67"/>
      <c r="N364" s="67"/>
      <c r="O364" s="67">
        <f t="shared" si="22"/>
        <v>59</v>
      </c>
      <c r="P364" s="67">
        <f>IF(B364="", 0, IFERROR(MIN(C364+D364, VLOOKUP(B364, '💳 Debt Input'!$A:$G, 4, FALSE)), 0))</f>
        <v>0</v>
      </c>
      <c r="Q364" s="67"/>
    </row>
    <row r="365" spans="1:17" ht="18" customHeight="1" x14ac:dyDescent="0.35">
      <c r="A365" s="21">
        <v>60</v>
      </c>
      <c r="B365" s="6" t="str">
        <f>'💳 Debt Input'!$A$9</f>
        <v>Rewards Visa</v>
      </c>
      <c r="C365" s="12">
        <f t="shared" si="23"/>
        <v>0</v>
      </c>
      <c r="D365" s="12">
        <f>ROUND(C365*'💳 Debt Input'!$C$9/12,2)</f>
        <v>0</v>
      </c>
      <c r="E365" s="12">
        <f>IF(B365="", "", MIN(C365+D365, MAX(P365, $F$3 - SUMIFS(E$10:E364, O$10:O364, O365) - SUMIFS(P366:P$1995, O366:O$1995, O365))))</f>
        <v>0</v>
      </c>
      <c r="F365" s="12">
        <f t="shared" si="20"/>
        <v>0</v>
      </c>
      <c r="G365" s="22" t="str">
        <f t="shared" si="21"/>
        <v>Paid off</v>
      </c>
      <c r="H365" s="23"/>
      <c r="J365" s="67"/>
      <c r="K365" s="67"/>
      <c r="L365" s="67"/>
      <c r="M365" s="67"/>
      <c r="N365" s="67"/>
      <c r="O365" s="67">
        <f t="shared" si="22"/>
        <v>60</v>
      </c>
      <c r="P365" s="67">
        <f>IF(B365="", 0, IFERROR(MIN(C365+D365, VLOOKUP(B365, '💳 Debt Input'!$A:$G, 4, FALSE)), 0))</f>
        <v>0</v>
      </c>
      <c r="Q365" s="67"/>
    </row>
    <row r="366" spans="1:17" ht="18" customHeight="1" x14ac:dyDescent="0.35">
      <c r="A366" s="28"/>
      <c r="B366" s="26" t="str">
        <f>'💳 Debt Input'!$A$8</f>
        <v>Travel Card</v>
      </c>
      <c r="C366" s="27">
        <f t="shared" si="23"/>
        <v>0</v>
      </c>
      <c r="D366" s="27">
        <f>ROUND(C366*'💳 Debt Input'!$C$8/12,2)</f>
        <v>0</v>
      </c>
      <c r="E366" s="27">
        <f>IF(B366="", "", MIN(C366+D366, MAX(P366, $F$3 - SUMIFS(E$10:E365, O$10:O365, O366) - SUMIFS(P367:P$1995, O367:O$1995, O366))))</f>
        <v>0</v>
      </c>
      <c r="F366" s="27">
        <f t="shared" si="20"/>
        <v>0</v>
      </c>
      <c r="G366" s="28" t="str">
        <f t="shared" si="21"/>
        <v>Paid off</v>
      </c>
      <c r="H366" s="29"/>
      <c r="J366" s="67"/>
      <c r="K366" s="67"/>
      <c r="L366" s="67"/>
      <c r="M366" s="67"/>
      <c r="N366" s="67"/>
      <c r="O366" s="67">
        <f t="shared" si="22"/>
        <v>60</v>
      </c>
      <c r="P366" s="67">
        <f>IF(B366="", 0, IFERROR(MIN(C366+D366, VLOOKUP(B366, '💳 Debt Input'!$A:$G, 4, FALSE)), 0))</f>
        <v>0</v>
      </c>
      <c r="Q366" s="67"/>
    </row>
    <row r="367" spans="1:17" ht="18" customHeight="1" x14ac:dyDescent="0.35">
      <c r="A367" s="28"/>
      <c r="B367" s="26" t="str">
        <f>'💳 Debt Input'!$A$7</f>
        <v>Auto Loan</v>
      </c>
      <c r="C367" s="27">
        <f t="shared" si="23"/>
        <v>0</v>
      </c>
      <c r="D367" s="27">
        <f>ROUND(C367*'💳 Debt Input'!$C$7/12,2)</f>
        <v>0</v>
      </c>
      <c r="E367" s="27">
        <f>IF(B367="", "", MIN(C367+D367, MAX(P367, $F$3 - SUMIFS(E$10:E366, O$10:O366, O367) - SUMIFS(P368:P$1995, O368:O$1995, O367))))</f>
        <v>0</v>
      </c>
      <c r="F367" s="27">
        <f t="shared" si="20"/>
        <v>0</v>
      </c>
      <c r="G367" s="28" t="str">
        <f t="shared" si="21"/>
        <v>Paid off</v>
      </c>
      <c r="H367" s="29"/>
      <c r="J367" s="67"/>
      <c r="K367" s="67"/>
      <c r="L367" s="67"/>
      <c r="M367" s="67"/>
      <c r="N367" s="67"/>
      <c r="O367" s="67">
        <f t="shared" si="22"/>
        <v>60</v>
      </c>
      <c r="P367" s="67">
        <f>IF(B367="", 0, IFERROR(MIN(C367+D367, VLOOKUP(B367, '💳 Debt Input'!$A:$G, 4, FALSE)), 0))</f>
        <v>0</v>
      </c>
      <c r="Q367" s="67"/>
    </row>
    <row r="368" spans="1:17" ht="18" customHeight="1" x14ac:dyDescent="0.35">
      <c r="A368" s="28"/>
      <c r="B368" s="26" t="str">
        <f>'💳 Debt Input'!$A$6</f>
        <v>Personal Loan</v>
      </c>
      <c r="C368" s="27">
        <f t="shared" si="23"/>
        <v>0</v>
      </c>
      <c r="D368" s="27">
        <f>ROUND(C368*'💳 Debt Input'!$C$6/12,2)</f>
        <v>0</v>
      </c>
      <c r="E368" s="27">
        <f>IF(B368="", "", MIN(C368+D368, MAX(P368, $F$3 - SUMIFS(E$10:E367, O$10:O367, O368) - SUMIFS(P369:P$1995, O369:O$1995, O368))))</f>
        <v>0</v>
      </c>
      <c r="F368" s="27">
        <f t="shared" si="20"/>
        <v>0</v>
      </c>
      <c r="G368" s="28" t="str">
        <f t="shared" si="21"/>
        <v>Paid off</v>
      </c>
      <c r="H368" s="29"/>
      <c r="J368" s="67"/>
      <c r="K368" s="67"/>
      <c r="L368" s="67"/>
      <c r="M368" s="67"/>
      <c r="N368" s="67"/>
      <c r="O368" s="67">
        <f t="shared" si="22"/>
        <v>60</v>
      </c>
      <c r="P368" s="67">
        <f>IF(B368="", 0, IFERROR(MIN(C368+D368, VLOOKUP(B368, '💳 Debt Input'!$A:$G, 4, FALSE)), 0))</f>
        <v>0</v>
      </c>
      <c r="Q368" s="67"/>
    </row>
    <row r="369" spans="1:17" ht="18" customHeight="1" x14ac:dyDescent="0.35">
      <c r="A369" s="28"/>
      <c r="B369" s="26" t="str">
        <f>'💳 Debt Input'!$A$5</f>
        <v>Medical Bill</v>
      </c>
      <c r="C369" s="27">
        <f t="shared" si="23"/>
        <v>0</v>
      </c>
      <c r="D369" s="27">
        <f>ROUND(C369*'💳 Debt Input'!$C$5/12,2)</f>
        <v>0</v>
      </c>
      <c r="E369" s="27">
        <f>IF(B369="", "", MIN(C369+D369, MAX(P369, $F$3 - SUMIFS(E$10:E368, O$10:O368, O369) - SUMIFS(P370:P$1995, O370:O$1995, O369))))</f>
        <v>0</v>
      </c>
      <c r="F369" s="27">
        <f t="shared" si="20"/>
        <v>0</v>
      </c>
      <c r="G369" s="28" t="str">
        <f t="shared" si="21"/>
        <v>Paid off</v>
      </c>
      <c r="H369" s="29"/>
      <c r="J369" s="67"/>
      <c r="K369" s="67"/>
      <c r="L369" s="67"/>
      <c r="M369" s="67"/>
      <c r="N369" s="67"/>
      <c r="O369" s="67">
        <f t="shared" si="22"/>
        <v>60</v>
      </c>
      <c r="P369" s="67">
        <f>IF(B369="", 0, IFERROR(MIN(C369+D369, VLOOKUP(B369, '💳 Debt Input'!$A:$G, 4, FALSE)), 0))</f>
        <v>0</v>
      </c>
      <c r="Q369" s="67"/>
    </row>
    <row r="370" spans="1:17" ht="18" customHeight="1" x14ac:dyDescent="0.35">
      <c r="A370" s="28"/>
      <c r="B370" s="26" t="str">
        <f>'💳 Debt Input'!$A$4</f>
        <v>Store Card</v>
      </c>
      <c r="C370" s="27">
        <f t="shared" si="23"/>
        <v>0</v>
      </c>
      <c r="D370" s="27">
        <f>ROUND(C370*'💳 Debt Input'!$C$4/12,2)</f>
        <v>0</v>
      </c>
      <c r="E370" s="27">
        <f>IF(B370="", "", MIN(C370+D370, MAX(P370, $F$3 - SUMIFS(E$10:E369, O$10:O369, O370) - SUMIFS(P371:P$1995, O371:O$1995, O370))))</f>
        <v>0</v>
      </c>
      <c r="F370" s="27">
        <f t="shared" si="20"/>
        <v>0</v>
      </c>
      <c r="G370" s="28" t="str">
        <f t="shared" si="21"/>
        <v>Paid off</v>
      </c>
      <c r="H370" s="29"/>
      <c r="J370" s="67"/>
      <c r="K370" s="67"/>
      <c r="L370" s="67"/>
      <c r="M370" s="67"/>
      <c r="N370" s="67"/>
      <c r="O370" s="67">
        <f t="shared" si="22"/>
        <v>60</v>
      </c>
      <c r="P370" s="67">
        <f>IF(B370="", 0, IFERROR(MIN(C370+D370, VLOOKUP(B370, '💳 Debt Input'!$A:$G, 4, FALSE)), 0))</f>
        <v>0</v>
      </c>
      <c r="Q370" s="67"/>
    </row>
    <row r="371" spans="1:17" ht="18" customHeight="1" x14ac:dyDescent="0.35">
      <c r="A371" s="24">
        <v>61</v>
      </c>
      <c r="B371" s="8" t="str">
        <f>'💳 Debt Input'!$A$9</f>
        <v>Rewards Visa</v>
      </c>
      <c r="C371" s="10">
        <f t="shared" si="23"/>
        <v>0</v>
      </c>
      <c r="D371" s="10">
        <f>ROUND(C371*'💳 Debt Input'!$C$9/12,2)</f>
        <v>0</v>
      </c>
      <c r="E371" s="10">
        <f>IF(B371="", "", MIN(C371+D371, MAX(P371, $F$3 - SUMIFS(E$10:E370, O$10:O370, O371) - SUMIFS(P372:P$1995, O372:O$1995, O371))))</f>
        <v>0</v>
      </c>
      <c r="F371" s="10">
        <f t="shared" si="20"/>
        <v>0</v>
      </c>
      <c r="G371" s="19" t="str">
        <f t="shared" si="21"/>
        <v>Paid off</v>
      </c>
      <c r="H371" s="20"/>
      <c r="J371" s="67"/>
      <c r="K371" s="67"/>
      <c r="L371" s="67"/>
      <c r="M371" s="67"/>
      <c r="N371" s="67"/>
      <c r="O371" s="67">
        <f t="shared" si="22"/>
        <v>61</v>
      </c>
      <c r="P371" s="67">
        <f>IF(B371="", 0, IFERROR(MIN(C371+D371, VLOOKUP(B371, '💳 Debt Input'!$A:$G, 4, FALSE)), 0))</f>
        <v>0</v>
      </c>
      <c r="Q371" s="67"/>
    </row>
    <row r="372" spans="1:17" ht="18" customHeight="1" x14ac:dyDescent="0.35">
      <c r="A372" s="28"/>
      <c r="B372" s="26" t="str">
        <f>'💳 Debt Input'!$A$8</f>
        <v>Travel Card</v>
      </c>
      <c r="C372" s="27">
        <f t="shared" si="23"/>
        <v>0</v>
      </c>
      <c r="D372" s="27">
        <f>ROUND(C372*'💳 Debt Input'!$C$8/12,2)</f>
        <v>0</v>
      </c>
      <c r="E372" s="27">
        <f>IF(B372="", "", MIN(C372+D372, MAX(P372, $F$3 - SUMIFS(E$10:E371, O$10:O371, O372) - SUMIFS(P373:P$1995, O373:O$1995, O372))))</f>
        <v>0</v>
      </c>
      <c r="F372" s="27">
        <f t="shared" si="20"/>
        <v>0</v>
      </c>
      <c r="G372" s="28" t="str">
        <f t="shared" si="21"/>
        <v>Paid off</v>
      </c>
      <c r="H372" s="29"/>
      <c r="J372" s="67"/>
      <c r="K372" s="67"/>
      <c r="L372" s="67"/>
      <c r="M372" s="67"/>
      <c r="N372" s="67"/>
      <c r="O372" s="67">
        <f t="shared" si="22"/>
        <v>61</v>
      </c>
      <c r="P372" s="67">
        <f>IF(B372="", 0, IFERROR(MIN(C372+D372, VLOOKUP(B372, '💳 Debt Input'!$A:$G, 4, FALSE)), 0))</f>
        <v>0</v>
      </c>
      <c r="Q372" s="67"/>
    </row>
    <row r="373" spans="1:17" ht="18" customHeight="1" x14ac:dyDescent="0.35">
      <c r="A373" s="28"/>
      <c r="B373" s="26" t="str">
        <f>'💳 Debt Input'!$A$7</f>
        <v>Auto Loan</v>
      </c>
      <c r="C373" s="27">
        <f t="shared" si="23"/>
        <v>0</v>
      </c>
      <c r="D373" s="27">
        <f>ROUND(C373*'💳 Debt Input'!$C$7/12,2)</f>
        <v>0</v>
      </c>
      <c r="E373" s="27">
        <f>IF(B373="", "", MIN(C373+D373, MAX(P373, $F$3 - SUMIFS(E$10:E372, O$10:O372, O373) - SUMIFS(P374:P$1995, O374:O$1995, O373))))</f>
        <v>0</v>
      </c>
      <c r="F373" s="27">
        <f t="shared" si="20"/>
        <v>0</v>
      </c>
      <c r="G373" s="28" t="str">
        <f t="shared" si="21"/>
        <v>Paid off</v>
      </c>
      <c r="H373" s="29"/>
      <c r="J373" s="67"/>
      <c r="K373" s="67"/>
      <c r="L373" s="67"/>
      <c r="M373" s="67"/>
      <c r="N373" s="67"/>
      <c r="O373" s="67">
        <f t="shared" si="22"/>
        <v>61</v>
      </c>
      <c r="P373" s="67">
        <f>IF(B373="", 0, IFERROR(MIN(C373+D373, VLOOKUP(B373, '💳 Debt Input'!$A:$G, 4, FALSE)), 0))</f>
        <v>0</v>
      </c>
      <c r="Q373" s="67"/>
    </row>
    <row r="374" spans="1:17" ht="18" customHeight="1" x14ac:dyDescent="0.35">
      <c r="A374" s="28"/>
      <c r="B374" s="26" t="str">
        <f>'💳 Debt Input'!$A$6</f>
        <v>Personal Loan</v>
      </c>
      <c r="C374" s="27">
        <f t="shared" si="23"/>
        <v>0</v>
      </c>
      <c r="D374" s="27">
        <f>ROUND(C374*'💳 Debt Input'!$C$6/12,2)</f>
        <v>0</v>
      </c>
      <c r="E374" s="27">
        <f>IF(B374="", "", MIN(C374+D374, MAX(P374, $F$3 - SUMIFS(E$10:E373, O$10:O373, O374) - SUMIFS(P375:P$1995, O375:O$1995, O374))))</f>
        <v>0</v>
      </c>
      <c r="F374" s="27">
        <f t="shared" si="20"/>
        <v>0</v>
      </c>
      <c r="G374" s="28" t="str">
        <f t="shared" si="21"/>
        <v>Paid off</v>
      </c>
      <c r="H374" s="29"/>
      <c r="J374" s="67"/>
      <c r="K374" s="67"/>
      <c r="L374" s="67"/>
      <c r="M374" s="67"/>
      <c r="N374" s="67"/>
      <c r="O374" s="67">
        <f t="shared" si="22"/>
        <v>61</v>
      </c>
      <c r="P374" s="67">
        <f>IF(B374="", 0, IFERROR(MIN(C374+D374, VLOOKUP(B374, '💳 Debt Input'!$A:$G, 4, FALSE)), 0))</f>
        <v>0</v>
      </c>
      <c r="Q374" s="67"/>
    </row>
    <row r="375" spans="1:17" ht="18" customHeight="1" x14ac:dyDescent="0.35">
      <c r="A375" s="28"/>
      <c r="B375" s="26" t="str">
        <f>'💳 Debt Input'!$A$5</f>
        <v>Medical Bill</v>
      </c>
      <c r="C375" s="27">
        <f t="shared" si="23"/>
        <v>0</v>
      </c>
      <c r="D375" s="27">
        <f>ROUND(C375*'💳 Debt Input'!$C$5/12,2)</f>
        <v>0</v>
      </c>
      <c r="E375" s="27">
        <f>IF(B375="", "", MIN(C375+D375, MAX(P375, $F$3 - SUMIFS(E$10:E374, O$10:O374, O375) - SUMIFS(P376:P$1995, O376:O$1995, O375))))</f>
        <v>0</v>
      </c>
      <c r="F375" s="27">
        <f t="shared" si="20"/>
        <v>0</v>
      </c>
      <c r="G375" s="28" t="str">
        <f t="shared" si="21"/>
        <v>Paid off</v>
      </c>
      <c r="H375" s="29"/>
      <c r="J375" s="67"/>
      <c r="K375" s="67"/>
      <c r="L375" s="67"/>
      <c r="M375" s="67"/>
      <c r="N375" s="67"/>
      <c r="O375" s="67">
        <f t="shared" si="22"/>
        <v>61</v>
      </c>
      <c r="P375" s="67">
        <f>IF(B375="", 0, IFERROR(MIN(C375+D375, VLOOKUP(B375, '💳 Debt Input'!$A:$G, 4, FALSE)), 0))</f>
        <v>0</v>
      </c>
      <c r="Q375" s="67"/>
    </row>
    <row r="376" spans="1:17" ht="18" customHeight="1" x14ac:dyDescent="0.35">
      <c r="A376" s="28"/>
      <c r="B376" s="26" t="str">
        <f>'💳 Debt Input'!$A$4</f>
        <v>Store Card</v>
      </c>
      <c r="C376" s="27">
        <f t="shared" si="23"/>
        <v>0</v>
      </c>
      <c r="D376" s="27">
        <f>ROUND(C376*'💳 Debt Input'!$C$4/12,2)</f>
        <v>0</v>
      </c>
      <c r="E376" s="27">
        <f>IF(B376="", "", MIN(C376+D376, MAX(P376, $F$3 - SUMIFS(E$10:E375, O$10:O375, O376) - SUMIFS(P377:P$1995, O377:O$1995, O376))))</f>
        <v>0</v>
      </c>
      <c r="F376" s="27">
        <f t="shared" si="20"/>
        <v>0</v>
      </c>
      <c r="G376" s="28" t="str">
        <f t="shared" si="21"/>
        <v>Paid off</v>
      </c>
      <c r="H376" s="29"/>
      <c r="J376" s="67"/>
      <c r="K376" s="67"/>
      <c r="L376" s="67"/>
      <c r="M376" s="67"/>
      <c r="N376" s="67"/>
      <c r="O376" s="67">
        <f t="shared" si="22"/>
        <v>61</v>
      </c>
      <c r="P376" s="67">
        <f>IF(B376="", 0, IFERROR(MIN(C376+D376, VLOOKUP(B376, '💳 Debt Input'!$A:$G, 4, FALSE)), 0))</f>
        <v>0</v>
      </c>
      <c r="Q376" s="67"/>
    </row>
    <row r="377" spans="1:17" ht="18" customHeight="1" x14ac:dyDescent="0.35">
      <c r="A377" s="21">
        <v>62</v>
      </c>
      <c r="B377" s="6" t="str">
        <f>'💳 Debt Input'!$A$9</f>
        <v>Rewards Visa</v>
      </c>
      <c r="C377" s="12">
        <f t="shared" si="23"/>
        <v>0</v>
      </c>
      <c r="D377" s="12">
        <f>ROUND(C377*'💳 Debt Input'!$C$9/12,2)</f>
        <v>0</v>
      </c>
      <c r="E377" s="12">
        <f>IF(B377="", "", MIN(C377+D377, MAX(P377, $F$3 - SUMIFS(E$10:E376, O$10:O376, O377) - SUMIFS(P378:P$1995, O378:O$1995, O377))))</f>
        <v>0</v>
      </c>
      <c r="F377" s="12">
        <f t="shared" si="20"/>
        <v>0</v>
      </c>
      <c r="G377" s="22" t="str">
        <f t="shared" si="21"/>
        <v>Paid off</v>
      </c>
      <c r="H377" s="23"/>
      <c r="J377" s="67"/>
      <c r="K377" s="67"/>
      <c r="L377" s="67"/>
      <c r="M377" s="67"/>
      <c r="N377" s="67"/>
      <c r="O377" s="67">
        <f t="shared" si="22"/>
        <v>62</v>
      </c>
      <c r="P377" s="67">
        <f>IF(B377="", 0, IFERROR(MIN(C377+D377, VLOOKUP(B377, '💳 Debt Input'!$A:$G, 4, FALSE)), 0))</f>
        <v>0</v>
      </c>
      <c r="Q377" s="67"/>
    </row>
    <row r="378" spans="1:17" ht="18" customHeight="1" x14ac:dyDescent="0.35">
      <c r="A378" s="28"/>
      <c r="B378" s="26" t="str">
        <f>'💳 Debt Input'!$A$8</f>
        <v>Travel Card</v>
      </c>
      <c r="C378" s="27">
        <f t="shared" si="23"/>
        <v>0</v>
      </c>
      <c r="D378" s="27">
        <f>ROUND(C378*'💳 Debt Input'!$C$8/12,2)</f>
        <v>0</v>
      </c>
      <c r="E378" s="27">
        <f>IF(B378="", "", MIN(C378+D378, MAX(P378, $F$3 - SUMIFS(E$10:E377, O$10:O377, O378) - SUMIFS(P379:P$1995, O379:O$1995, O378))))</f>
        <v>0</v>
      </c>
      <c r="F378" s="27">
        <f t="shared" si="20"/>
        <v>0</v>
      </c>
      <c r="G378" s="28" t="str">
        <f t="shared" si="21"/>
        <v>Paid off</v>
      </c>
      <c r="H378" s="29"/>
      <c r="J378" s="67"/>
      <c r="K378" s="67"/>
      <c r="L378" s="67"/>
      <c r="M378" s="67"/>
      <c r="N378" s="67"/>
      <c r="O378" s="67">
        <f t="shared" si="22"/>
        <v>62</v>
      </c>
      <c r="P378" s="67">
        <f>IF(B378="", 0, IFERROR(MIN(C378+D378, VLOOKUP(B378, '💳 Debt Input'!$A:$G, 4, FALSE)), 0))</f>
        <v>0</v>
      </c>
      <c r="Q378" s="67"/>
    </row>
    <row r="379" spans="1:17" ht="18" customHeight="1" x14ac:dyDescent="0.35">
      <c r="A379" s="28"/>
      <c r="B379" s="26" t="str">
        <f>'💳 Debt Input'!$A$7</f>
        <v>Auto Loan</v>
      </c>
      <c r="C379" s="27">
        <f t="shared" si="23"/>
        <v>0</v>
      </c>
      <c r="D379" s="27">
        <f>ROUND(C379*'💳 Debt Input'!$C$7/12,2)</f>
        <v>0</v>
      </c>
      <c r="E379" s="27">
        <f>IF(B379="", "", MIN(C379+D379, MAX(P379, $F$3 - SUMIFS(E$10:E378, O$10:O378, O379) - SUMIFS(P380:P$1995, O380:O$1995, O379))))</f>
        <v>0</v>
      </c>
      <c r="F379" s="27">
        <f t="shared" si="20"/>
        <v>0</v>
      </c>
      <c r="G379" s="28" t="str">
        <f t="shared" si="21"/>
        <v>Paid off</v>
      </c>
      <c r="H379" s="29"/>
      <c r="J379" s="67"/>
      <c r="K379" s="67"/>
      <c r="L379" s="67"/>
      <c r="M379" s="67"/>
      <c r="N379" s="67"/>
      <c r="O379" s="67">
        <f t="shared" si="22"/>
        <v>62</v>
      </c>
      <c r="P379" s="67">
        <f>IF(B379="", 0, IFERROR(MIN(C379+D379, VLOOKUP(B379, '💳 Debt Input'!$A:$G, 4, FALSE)), 0))</f>
        <v>0</v>
      </c>
      <c r="Q379" s="67"/>
    </row>
    <row r="380" spans="1:17" ht="18" customHeight="1" x14ac:dyDescent="0.35">
      <c r="A380" s="28"/>
      <c r="B380" s="26" t="str">
        <f>'💳 Debt Input'!$A$6</f>
        <v>Personal Loan</v>
      </c>
      <c r="C380" s="27">
        <f t="shared" si="23"/>
        <v>0</v>
      </c>
      <c r="D380" s="27">
        <f>ROUND(C380*'💳 Debt Input'!$C$6/12,2)</f>
        <v>0</v>
      </c>
      <c r="E380" s="27">
        <f>IF(B380="", "", MIN(C380+D380, MAX(P380, $F$3 - SUMIFS(E$10:E379, O$10:O379, O380) - SUMIFS(P381:P$1995, O381:O$1995, O380))))</f>
        <v>0</v>
      </c>
      <c r="F380" s="27">
        <f t="shared" si="20"/>
        <v>0</v>
      </c>
      <c r="G380" s="28" t="str">
        <f t="shared" si="21"/>
        <v>Paid off</v>
      </c>
      <c r="H380" s="29"/>
      <c r="J380" s="67"/>
      <c r="K380" s="67"/>
      <c r="L380" s="67"/>
      <c r="M380" s="67"/>
      <c r="N380" s="67"/>
      <c r="O380" s="67">
        <f t="shared" si="22"/>
        <v>62</v>
      </c>
      <c r="P380" s="67">
        <f>IF(B380="", 0, IFERROR(MIN(C380+D380, VLOOKUP(B380, '💳 Debt Input'!$A:$G, 4, FALSE)), 0))</f>
        <v>0</v>
      </c>
      <c r="Q380" s="67"/>
    </row>
    <row r="381" spans="1:17" ht="18" customHeight="1" x14ac:dyDescent="0.35">
      <c r="A381" s="28"/>
      <c r="B381" s="26" t="str">
        <f>'💳 Debt Input'!$A$5</f>
        <v>Medical Bill</v>
      </c>
      <c r="C381" s="27">
        <f t="shared" si="23"/>
        <v>0</v>
      </c>
      <c r="D381" s="27">
        <f>ROUND(C381*'💳 Debt Input'!$C$5/12,2)</f>
        <v>0</v>
      </c>
      <c r="E381" s="27">
        <f>IF(B381="", "", MIN(C381+D381, MAX(P381, $F$3 - SUMIFS(E$10:E380, O$10:O380, O381) - SUMIFS(P382:P$1995, O382:O$1995, O381))))</f>
        <v>0</v>
      </c>
      <c r="F381" s="27">
        <f t="shared" si="20"/>
        <v>0</v>
      </c>
      <c r="G381" s="28" t="str">
        <f t="shared" si="21"/>
        <v>Paid off</v>
      </c>
      <c r="H381" s="29"/>
      <c r="J381" s="67"/>
      <c r="K381" s="67"/>
      <c r="L381" s="67"/>
      <c r="M381" s="67"/>
      <c r="N381" s="67"/>
      <c r="O381" s="67">
        <f t="shared" si="22"/>
        <v>62</v>
      </c>
      <c r="P381" s="67">
        <f>IF(B381="", 0, IFERROR(MIN(C381+D381, VLOOKUP(B381, '💳 Debt Input'!$A:$G, 4, FALSE)), 0))</f>
        <v>0</v>
      </c>
      <c r="Q381" s="67"/>
    </row>
    <row r="382" spans="1:17" ht="18" customHeight="1" x14ac:dyDescent="0.35">
      <c r="A382" s="28"/>
      <c r="B382" s="26" t="str">
        <f>'💳 Debt Input'!$A$4</f>
        <v>Store Card</v>
      </c>
      <c r="C382" s="27">
        <f t="shared" si="23"/>
        <v>0</v>
      </c>
      <c r="D382" s="27">
        <f>ROUND(C382*'💳 Debt Input'!$C$4/12,2)</f>
        <v>0</v>
      </c>
      <c r="E382" s="27">
        <f>IF(B382="", "", MIN(C382+D382, MAX(P382, $F$3 - SUMIFS(E$10:E381, O$10:O381, O382) - SUMIFS(P383:P$1995, O383:O$1995, O382))))</f>
        <v>0</v>
      </c>
      <c r="F382" s="27">
        <f t="shared" si="20"/>
        <v>0</v>
      </c>
      <c r="G382" s="28" t="str">
        <f t="shared" si="21"/>
        <v>Paid off</v>
      </c>
      <c r="H382" s="29"/>
      <c r="J382" s="67"/>
      <c r="K382" s="67"/>
      <c r="L382" s="67"/>
      <c r="M382" s="67"/>
      <c r="N382" s="67"/>
      <c r="O382" s="67">
        <f t="shared" si="22"/>
        <v>62</v>
      </c>
      <c r="P382" s="67">
        <f>IF(B382="", 0, IFERROR(MIN(C382+D382, VLOOKUP(B382, '💳 Debt Input'!$A:$G, 4, FALSE)), 0))</f>
        <v>0</v>
      </c>
      <c r="Q382" s="67"/>
    </row>
    <row r="383" spans="1:17" ht="18" customHeight="1" x14ac:dyDescent="0.35">
      <c r="A383" s="25">
        <v>63</v>
      </c>
      <c r="B383" s="26" t="str">
        <f>'💳 Debt Input'!$A$9</f>
        <v>Rewards Visa</v>
      </c>
      <c r="C383" s="27">
        <f t="shared" si="23"/>
        <v>0</v>
      </c>
      <c r="D383" s="27">
        <f>ROUND(C383*'💳 Debt Input'!$C$9/12,2)</f>
        <v>0</v>
      </c>
      <c r="E383" s="27">
        <f>IF(B383="", "", MIN(C383+D383, MAX(P383, $F$3 - SUMIFS(E$10:E382, O$10:O382, O383) - SUMIFS(P384:P$1995, O384:O$1995, O383))))</f>
        <v>0</v>
      </c>
      <c r="F383" s="27">
        <f t="shared" si="20"/>
        <v>0</v>
      </c>
      <c r="G383" s="28" t="str">
        <f t="shared" si="21"/>
        <v>Paid off</v>
      </c>
      <c r="H383" s="26"/>
      <c r="J383" s="67"/>
      <c r="K383" s="67"/>
      <c r="L383" s="67"/>
      <c r="M383" s="67"/>
      <c r="N383" s="67"/>
      <c r="O383" s="67">
        <f t="shared" si="22"/>
        <v>63</v>
      </c>
      <c r="P383" s="67">
        <f>IF(B383="", 0, IFERROR(MIN(C383+D383, VLOOKUP(B383, '💳 Debt Input'!$A:$G, 4, FALSE)), 0))</f>
        <v>0</v>
      </c>
      <c r="Q383" s="67"/>
    </row>
    <row r="384" spans="1:17" ht="18" customHeight="1" x14ac:dyDescent="0.35">
      <c r="A384" s="28"/>
      <c r="B384" s="26" t="str">
        <f>'💳 Debt Input'!$A$8</f>
        <v>Travel Card</v>
      </c>
      <c r="C384" s="27">
        <f t="shared" si="23"/>
        <v>0</v>
      </c>
      <c r="D384" s="27">
        <f>ROUND(C384*'💳 Debt Input'!$C$8/12,2)</f>
        <v>0</v>
      </c>
      <c r="E384" s="27">
        <f>IF(B384="", "", MIN(C384+D384, MAX(P384, $F$3 - SUMIFS(E$10:E383, O$10:O383, O384) - SUMIFS(P385:P$1995, O385:O$1995, O384))))</f>
        <v>0</v>
      </c>
      <c r="F384" s="27">
        <f t="shared" si="20"/>
        <v>0</v>
      </c>
      <c r="G384" s="28" t="str">
        <f t="shared" si="21"/>
        <v>Paid off</v>
      </c>
      <c r="H384" s="29"/>
      <c r="J384" s="67"/>
      <c r="K384" s="67"/>
      <c r="L384" s="67"/>
      <c r="M384" s="67"/>
      <c r="N384" s="67"/>
      <c r="O384" s="67">
        <f t="shared" si="22"/>
        <v>63</v>
      </c>
      <c r="P384" s="67">
        <f>IF(B384="", 0, IFERROR(MIN(C384+D384, VLOOKUP(B384, '💳 Debt Input'!$A:$G, 4, FALSE)), 0))</f>
        <v>0</v>
      </c>
      <c r="Q384" s="67"/>
    </row>
    <row r="385" spans="1:17" ht="18" customHeight="1" x14ac:dyDescent="0.35">
      <c r="A385" s="28"/>
      <c r="B385" s="26" t="str">
        <f>'💳 Debt Input'!$A$7</f>
        <v>Auto Loan</v>
      </c>
      <c r="C385" s="27">
        <f t="shared" si="23"/>
        <v>0</v>
      </c>
      <c r="D385" s="27">
        <f>ROUND(C385*'💳 Debt Input'!$C$7/12,2)</f>
        <v>0</v>
      </c>
      <c r="E385" s="27">
        <f>IF(B385="", "", MIN(C385+D385, MAX(P385, $F$3 - SUMIFS(E$10:E384, O$10:O384, O385) - SUMIFS(P386:P$1995, O386:O$1995, O385))))</f>
        <v>0</v>
      </c>
      <c r="F385" s="27">
        <f t="shared" si="20"/>
        <v>0</v>
      </c>
      <c r="G385" s="28" t="str">
        <f t="shared" si="21"/>
        <v>Paid off</v>
      </c>
      <c r="H385" s="29"/>
      <c r="J385" s="67"/>
      <c r="K385" s="67"/>
      <c r="L385" s="67"/>
      <c r="M385" s="67"/>
      <c r="N385" s="67"/>
      <c r="O385" s="67">
        <f t="shared" si="22"/>
        <v>63</v>
      </c>
      <c r="P385" s="67">
        <f>IF(B385="", 0, IFERROR(MIN(C385+D385, VLOOKUP(B385, '💳 Debt Input'!$A:$G, 4, FALSE)), 0))</f>
        <v>0</v>
      </c>
      <c r="Q385" s="67"/>
    </row>
    <row r="386" spans="1:17" ht="18" customHeight="1" x14ac:dyDescent="0.35">
      <c r="A386" s="28"/>
      <c r="B386" s="26" t="str">
        <f>'💳 Debt Input'!$A$6</f>
        <v>Personal Loan</v>
      </c>
      <c r="C386" s="27">
        <f t="shared" si="23"/>
        <v>0</v>
      </c>
      <c r="D386" s="27">
        <f>ROUND(C386*'💳 Debt Input'!$C$6/12,2)</f>
        <v>0</v>
      </c>
      <c r="E386" s="27">
        <f>IF(B386="", "", MIN(C386+D386, MAX(P386, $F$3 - SUMIFS(E$10:E385, O$10:O385, O386) - SUMIFS(P387:P$1995, O387:O$1995, O386))))</f>
        <v>0</v>
      </c>
      <c r="F386" s="27">
        <f t="shared" si="20"/>
        <v>0</v>
      </c>
      <c r="G386" s="28" t="str">
        <f t="shared" si="21"/>
        <v>Paid off</v>
      </c>
      <c r="H386" s="29"/>
      <c r="J386" s="67"/>
      <c r="K386" s="67"/>
      <c r="L386" s="67"/>
      <c r="M386" s="67"/>
      <c r="N386" s="67"/>
      <c r="O386" s="67">
        <f t="shared" si="22"/>
        <v>63</v>
      </c>
      <c r="P386" s="67">
        <f>IF(B386="", 0, IFERROR(MIN(C386+D386, VLOOKUP(B386, '💳 Debt Input'!$A:$G, 4, FALSE)), 0))</f>
        <v>0</v>
      </c>
      <c r="Q386" s="67"/>
    </row>
    <row r="387" spans="1:17" ht="18" customHeight="1" x14ac:dyDescent="0.35">
      <c r="A387" s="28"/>
      <c r="B387" s="26" t="str">
        <f>'💳 Debt Input'!$A$5</f>
        <v>Medical Bill</v>
      </c>
      <c r="C387" s="27">
        <f t="shared" si="23"/>
        <v>0</v>
      </c>
      <c r="D387" s="27">
        <f>ROUND(C387*'💳 Debt Input'!$C$5/12,2)</f>
        <v>0</v>
      </c>
      <c r="E387" s="27">
        <f>IF(B387="", "", MIN(C387+D387, MAX(P387, $F$3 - SUMIFS(E$10:E386, O$10:O386, O387) - SUMIFS(P388:P$1995, O388:O$1995, O387))))</f>
        <v>0</v>
      </c>
      <c r="F387" s="27">
        <f t="shared" si="20"/>
        <v>0</v>
      </c>
      <c r="G387" s="28" t="str">
        <f t="shared" si="21"/>
        <v>Paid off</v>
      </c>
      <c r="H387" s="29"/>
      <c r="J387" s="67"/>
      <c r="K387" s="67"/>
      <c r="L387" s="67"/>
      <c r="M387" s="67"/>
      <c r="N387" s="67"/>
      <c r="O387" s="67">
        <f t="shared" si="22"/>
        <v>63</v>
      </c>
      <c r="P387" s="67">
        <f>IF(B387="", 0, IFERROR(MIN(C387+D387, VLOOKUP(B387, '💳 Debt Input'!$A:$G, 4, FALSE)), 0))</f>
        <v>0</v>
      </c>
      <c r="Q387" s="67"/>
    </row>
    <row r="388" spans="1:17" ht="18" customHeight="1" x14ac:dyDescent="0.35">
      <c r="A388" s="28"/>
      <c r="B388" s="26" t="str">
        <f>'💳 Debt Input'!$A$4</f>
        <v>Store Card</v>
      </c>
      <c r="C388" s="27">
        <f t="shared" si="23"/>
        <v>0</v>
      </c>
      <c r="D388" s="27">
        <f>ROUND(C388*'💳 Debt Input'!$C$4/12,2)</f>
        <v>0</v>
      </c>
      <c r="E388" s="27">
        <f>IF(B388="", "", MIN(C388+D388, MAX(P388, $F$3 - SUMIFS(E$10:E387, O$10:O387, O388) - SUMIFS(P389:P$1995, O389:O$1995, O388))))</f>
        <v>0</v>
      </c>
      <c r="F388" s="27">
        <f t="shared" si="20"/>
        <v>0</v>
      </c>
      <c r="G388" s="28" t="str">
        <f t="shared" si="21"/>
        <v>Paid off</v>
      </c>
      <c r="H388" s="29"/>
      <c r="J388" s="67"/>
      <c r="K388" s="67"/>
      <c r="L388" s="67"/>
      <c r="M388" s="67"/>
      <c r="N388" s="67"/>
      <c r="O388" s="67">
        <f t="shared" si="22"/>
        <v>63</v>
      </c>
      <c r="P388" s="67">
        <f>IF(B388="", 0, IFERROR(MIN(C388+D388, VLOOKUP(B388, '💳 Debt Input'!$A:$G, 4, FALSE)), 0))</f>
        <v>0</v>
      </c>
      <c r="Q388" s="67"/>
    </row>
    <row r="389" spans="1:17" ht="10" customHeight="1" x14ac:dyDescent="0.35">
      <c r="A389" s="25">
        <v>64</v>
      </c>
      <c r="B389" s="26" t="str">
        <f>'💳 Debt Input'!$A$9</f>
        <v>Rewards Visa</v>
      </c>
      <c r="C389" s="27">
        <f t="shared" si="23"/>
        <v>0</v>
      </c>
      <c r="D389" s="27">
        <f>ROUND(C389*'💳 Debt Input'!$C$9/12,2)</f>
        <v>0</v>
      </c>
      <c r="E389" s="27">
        <f>IF(B389="", "", MIN(C389+D389, MAX(P389, $F$3 - SUMIFS(E$10:E388, O$10:O388, O389) - SUMIFS(P390:P$1995, O390:O$1995, O389))))</f>
        <v>0</v>
      </c>
      <c r="F389" s="27">
        <f t="shared" si="20"/>
        <v>0</v>
      </c>
      <c r="G389" s="28" t="str">
        <f t="shared" si="21"/>
        <v>Paid off</v>
      </c>
      <c r="H389" s="29"/>
      <c r="J389" s="67"/>
      <c r="K389" s="67"/>
      <c r="L389" s="67"/>
      <c r="M389" s="67"/>
      <c r="N389" s="67"/>
      <c r="O389" s="67">
        <f t="shared" si="22"/>
        <v>64</v>
      </c>
      <c r="P389" s="67">
        <f>IF(B389="", 0, IFERROR(MIN(C389+D389, VLOOKUP(B389, '💳 Debt Input'!$A:$G, 4, FALSE)), 0))</f>
        <v>0</v>
      </c>
      <c r="Q389" s="67"/>
    </row>
    <row r="390" spans="1:17" ht="24" customHeight="1" x14ac:dyDescent="0.35">
      <c r="A390" s="28"/>
      <c r="B390" s="26" t="str">
        <f>'💳 Debt Input'!$A$8</f>
        <v>Travel Card</v>
      </c>
      <c r="C390" s="27">
        <f t="shared" si="23"/>
        <v>0</v>
      </c>
      <c r="D390" s="27">
        <f>ROUND(C390*'💳 Debt Input'!$C$8/12,2)</f>
        <v>0</v>
      </c>
      <c r="E390" s="27">
        <f>IF(B390="", "", MIN(C390+D390, MAX(P390, $F$3 - SUMIFS(E$10:E389, O$10:O389, O390) - SUMIFS(P391:P$1995, O391:O$1995, O390))))</f>
        <v>0</v>
      </c>
      <c r="F390" s="27">
        <f t="shared" si="20"/>
        <v>0</v>
      </c>
      <c r="G390" s="28" t="str">
        <f t="shared" si="21"/>
        <v>Paid off</v>
      </c>
      <c r="H390" s="29"/>
      <c r="J390" s="67"/>
      <c r="K390" s="67"/>
      <c r="L390" s="67"/>
      <c r="M390" s="67"/>
      <c r="N390" s="67"/>
      <c r="O390" s="67">
        <f t="shared" si="22"/>
        <v>64</v>
      </c>
      <c r="P390" s="67">
        <f>IF(B390="", 0, IFERROR(MIN(C390+D390, VLOOKUP(B390, '💳 Debt Input'!$A:$G, 4, FALSE)), 0))</f>
        <v>0</v>
      </c>
      <c r="Q390" s="67"/>
    </row>
    <row r="391" spans="1:17" ht="22" customHeight="1" x14ac:dyDescent="0.35">
      <c r="A391" s="28"/>
      <c r="B391" s="26" t="str">
        <f>'💳 Debt Input'!$A$7</f>
        <v>Auto Loan</v>
      </c>
      <c r="C391" s="27">
        <f t="shared" si="23"/>
        <v>0</v>
      </c>
      <c r="D391" s="27">
        <f>ROUND(C391*'💳 Debt Input'!$C$7/12,2)</f>
        <v>0</v>
      </c>
      <c r="E391" s="27">
        <f>IF(B391="", "", MIN(C391+D391, MAX(P391, $F$3 - SUMIFS(E$10:E390, O$10:O390, O391) - SUMIFS(P392:P$1995, O392:O$1995, O391))))</f>
        <v>0</v>
      </c>
      <c r="F391" s="27">
        <f t="shared" si="20"/>
        <v>0</v>
      </c>
      <c r="G391" s="28" t="str">
        <f t="shared" si="21"/>
        <v>Paid off</v>
      </c>
      <c r="H391" s="29"/>
      <c r="J391" s="67"/>
      <c r="K391" s="67"/>
      <c r="L391" s="67"/>
      <c r="M391" s="67"/>
      <c r="N391" s="67"/>
      <c r="O391" s="67">
        <f t="shared" si="22"/>
        <v>64</v>
      </c>
      <c r="P391" s="67">
        <f>IF(B391="", 0, IFERROR(MIN(C391+D391, VLOOKUP(B391, '💳 Debt Input'!$A:$G, 4, FALSE)), 0))</f>
        <v>0</v>
      </c>
      <c r="Q391" s="67"/>
    </row>
    <row r="392" spans="1:17" ht="22" customHeight="1" x14ac:dyDescent="0.35">
      <c r="A392" s="28"/>
      <c r="B392" s="26" t="str">
        <f>'💳 Debt Input'!$A$6</f>
        <v>Personal Loan</v>
      </c>
      <c r="C392" s="27">
        <f t="shared" si="23"/>
        <v>0</v>
      </c>
      <c r="D392" s="27">
        <f>ROUND(C392*'💳 Debt Input'!$C$6/12,2)</f>
        <v>0</v>
      </c>
      <c r="E392" s="27">
        <f>IF(B392="", "", MIN(C392+D392, MAX(P392, $F$3 - SUMIFS(E$10:E391, O$10:O391, O392) - SUMIFS(P393:P$1995, O393:O$1995, O392))))</f>
        <v>0</v>
      </c>
      <c r="F392" s="27">
        <f t="shared" si="20"/>
        <v>0</v>
      </c>
      <c r="G392" s="28" t="str">
        <f t="shared" si="21"/>
        <v>Paid off</v>
      </c>
      <c r="H392" s="29"/>
      <c r="J392" s="67"/>
      <c r="K392" s="67"/>
      <c r="L392" s="67"/>
      <c r="M392" s="67"/>
      <c r="N392" s="67"/>
      <c r="O392" s="67">
        <f t="shared" si="22"/>
        <v>64</v>
      </c>
      <c r="P392" s="67">
        <f>IF(B392="", 0, IFERROR(MIN(C392+D392, VLOOKUP(B392, '💳 Debt Input'!$A:$G, 4, FALSE)), 0))</f>
        <v>0</v>
      </c>
      <c r="Q392" s="67"/>
    </row>
    <row r="393" spans="1:17" ht="22" customHeight="1" x14ac:dyDescent="0.35">
      <c r="A393" s="28"/>
      <c r="B393" s="26" t="str">
        <f>'💳 Debt Input'!$A$5</f>
        <v>Medical Bill</v>
      </c>
      <c r="C393" s="27">
        <f t="shared" si="23"/>
        <v>0</v>
      </c>
      <c r="D393" s="27">
        <f>ROUND(C393*'💳 Debt Input'!$C$5/12,2)</f>
        <v>0</v>
      </c>
      <c r="E393" s="27">
        <f>IF(B393="", "", MIN(C393+D393, MAX(P393, $F$3 - SUMIFS(E$10:E392, O$10:O392, O393) - SUMIFS(P394:P$1995, O394:O$1995, O393))))</f>
        <v>0</v>
      </c>
      <c r="F393" s="27">
        <f t="shared" si="20"/>
        <v>0</v>
      </c>
      <c r="G393" s="28" t="str">
        <f t="shared" si="21"/>
        <v>Paid off</v>
      </c>
      <c r="H393" s="29"/>
      <c r="J393" s="67"/>
      <c r="K393" s="67"/>
      <c r="L393" s="67"/>
      <c r="M393" s="67"/>
      <c r="N393" s="67"/>
      <c r="O393" s="67">
        <f t="shared" si="22"/>
        <v>64</v>
      </c>
      <c r="P393" s="67">
        <f>IF(B393="", 0, IFERROR(MIN(C393+D393, VLOOKUP(B393, '💳 Debt Input'!$A:$G, 4, FALSE)), 0))</f>
        <v>0</v>
      </c>
      <c r="Q393" s="67"/>
    </row>
    <row r="394" spans="1:17" ht="10" customHeight="1" x14ac:dyDescent="0.35">
      <c r="A394" s="28"/>
      <c r="B394" s="26" t="str">
        <f>'💳 Debt Input'!$A$4</f>
        <v>Store Card</v>
      </c>
      <c r="C394" s="27">
        <f t="shared" si="23"/>
        <v>0</v>
      </c>
      <c r="D394" s="27">
        <f>ROUND(C394*'💳 Debt Input'!$C$4/12,2)</f>
        <v>0</v>
      </c>
      <c r="E394" s="27">
        <f>IF(B394="", "", MIN(C394+D394, MAX(P394, $F$3 - SUMIFS(E$10:E393, O$10:O393, O394) - SUMIFS(P4:P$1995, O4:O$1995, O394))))</f>
        <v>0</v>
      </c>
      <c r="F394" s="27">
        <f t="shared" si="20"/>
        <v>0</v>
      </c>
      <c r="G394" s="28" t="str">
        <f t="shared" si="21"/>
        <v>Paid off</v>
      </c>
      <c r="H394" s="29"/>
      <c r="J394" s="67"/>
      <c r="K394" s="67"/>
      <c r="L394" s="67"/>
      <c r="M394" s="67"/>
      <c r="N394" s="67"/>
      <c r="O394" s="67">
        <f t="shared" si="22"/>
        <v>64</v>
      </c>
      <c r="P394" s="67">
        <f>IF(B394="", 0, IFERROR(MIN(C394+D394, VLOOKUP(B394, '💳 Debt Input'!$A:$G, 4, FALSE)), 0))</f>
        <v>0</v>
      </c>
      <c r="Q394" s="67"/>
    </row>
    <row r="395" spans="1:17" ht="22" customHeight="1" x14ac:dyDescent="0.35">
      <c r="J395" s="67"/>
      <c r="K395" s="67"/>
      <c r="L395" s="67"/>
      <c r="M395" s="67"/>
      <c r="N395" s="67"/>
      <c r="O395" s="67" t="e">
        <f xml:space="preserve"> IF(A395&lt;&gt;"", A395,#REF!)</f>
        <v>#REF!</v>
      </c>
      <c r="P395" s="67">
        <f>IF(B395="", 0, IFERROR(MIN(C395+D395, VLOOKUP(B395, '💳 Debt Input'!$A:$G, 4, FALSE)), 0))</f>
        <v>0</v>
      </c>
      <c r="Q395" s="67"/>
    </row>
    <row r="396" spans="1:17" x14ac:dyDescent="0.35">
      <c r="J396" s="67"/>
      <c r="K396" s="67"/>
      <c r="L396" s="67"/>
      <c r="M396" s="67"/>
      <c r="N396" s="67"/>
      <c r="O396" s="67" t="e">
        <f t="shared" ref="O396:O403" si="24">IF(A396&lt;&gt;"", A396, O395)</f>
        <v>#REF!</v>
      </c>
      <c r="P396" s="67">
        <f>IF(B396="", 0, IFERROR(MIN(C396+D396, VLOOKUP(B396, '💳 Debt Input'!$A:$G, 4, FALSE)), 0))</f>
        <v>0</v>
      </c>
      <c r="Q396" s="67"/>
    </row>
    <row r="397" spans="1:17" x14ac:dyDescent="0.35">
      <c r="J397" s="67"/>
      <c r="K397" s="67"/>
      <c r="L397" s="67"/>
      <c r="M397" s="67"/>
      <c r="N397" s="67"/>
      <c r="O397" s="67" t="e">
        <f t="shared" si="24"/>
        <v>#REF!</v>
      </c>
      <c r="P397" s="67">
        <f>IF(B397="", 0, IFERROR(MIN(C397+D397, VLOOKUP(B397, '💳 Debt Input'!$A:$G, 4, FALSE)), 0))</f>
        <v>0</v>
      </c>
      <c r="Q397" s="67"/>
    </row>
    <row r="398" spans="1:17" x14ac:dyDescent="0.35">
      <c r="J398" s="67"/>
      <c r="K398" s="67"/>
      <c r="L398" s="67"/>
      <c r="M398" s="67"/>
      <c r="N398" s="67"/>
      <c r="O398" s="67" t="e">
        <f t="shared" si="24"/>
        <v>#REF!</v>
      </c>
      <c r="P398" s="67">
        <f>IF(B398="", 0, IFERROR(MIN(C398+D398, VLOOKUP(B398, '💳 Debt Input'!$A:$G, 4, FALSE)), 0))</f>
        <v>0</v>
      </c>
      <c r="Q398" s="67"/>
    </row>
    <row r="399" spans="1:17" x14ac:dyDescent="0.35">
      <c r="J399" s="67"/>
      <c r="K399" s="67"/>
      <c r="L399" s="67"/>
      <c r="M399" s="67"/>
      <c r="N399" s="67"/>
      <c r="O399" s="67" t="e">
        <f t="shared" si="24"/>
        <v>#REF!</v>
      </c>
      <c r="P399" s="67">
        <f>IF(B399="", 0, IFERROR(MIN(C399+D399, VLOOKUP(B399, '💳 Debt Input'!$A:$G, 4, FALSE)), 0))</f>
        <v>0</v>
      </c>
      <c r="Q399" s="67"/>
    </row>
    <row r="400" spans="1:17" x14ac:dyDescent="0.35">
      <c r="J400" s="67"/>
      <c r="K400" s="67"/>
      <c r="L400" s="67"/>
      <c r="M400" s="67"/>
      <c r="N400" s="67"/>
      <c r="O400" s="67" t="e">
        <f t="shared" si="24"/>
        <v>#REF!</v>
      </c>
      <c r="P400" s="67">
        <f>IF(B400="", 0, IFERROR(MIN(C400+D400, VLOOKUP(B400, '💳 Debt Input'!$A:$G, 4, FALSE)), 0))</f>
        <v>0</v>
      </c>
      <c r="Q400" s="67"/>
    </row>
    <row r="401" spans="10:17" x14ac:dyDescent="0.35">
      <c r="J401" s="67"/>
      <c r="K401" s="67"/>
      <c r="L401" s="67"/>
      <c r="M401" s="67"/>
      <c r="N401" s="67"/>
      <c r="O401" s="67" t="e">
        <f t="shared" si="24"/>
        <v>#REF!</v>
      </c>
      <c r="P401" s="67">
        <f>IF(B401="", 0, IFERROR(MIN(C401+D401, VLOOKUP(B401, '💳 Debt Input'!$A:$G, 4, FALSE)), 0))</f>
        <v>0</v>
      </c>
      <c r="Q401" s="67"/>
    </row>
    <row r="402" spans="10:17" x14ac:dyDescent="0.35">
      <c r="J402" s="67"/>
      <c r="K402" s="67"/>
      <c r="L402" s="67"/>
      <c r="M402" s="67"/>
      <c r="N402" s="67"/>
      <c r="O402" s="67" t="e">
        <f t="shared" si="24"/>
        <v>#REF!</v>
      </c>
      <c r="P402" s="67">
        <f>IF(B402="", 0, IFERROR(MIN(C402+D402, VLOOKUP(B402, '💳 Debt Input'!$A:$G, 4, FALSE)), 0))</f>
        <v>0</v>
      </c>
      <c r="Q402" s="67"/>
    </row>
    <row r="403" spans="10:17" x14ac:dyDescent="0.35">
      <c r="J403" s="67"/>
      <c r="K403" s="67"/>
      <c r="L403" s="67"/>
      <c r="M403" s="67"/>
      <c r="N403" s="67"/>
      <c r="O403" s="67" t="e">
        <f t="shared" si="24"/>
        <v>#REF!</v>
      </c>
      <c r="P403" s="67">
        <f>IF(B403="", 0, IFERROR(MIN(C403+D403, VLOOKUP(B403, '💳 Debt Input'!$A:$G, 4, FALSE)), 0))</f>
        <v>0</v>
      </c>
      <c r="Q403" s="67"/>
    </row>
    <row r="404" spans="10:17" x14ac:dyDescent="0.35">
      <c r="J404" s="67"/>
      <c r="K404" s="67"/>
      <c r="L404" s="67"/>
      <c r="M404" s="67"/>
      <c r="N404" s="67"/>
      <c r="O404" s="67"/>
      <c r="P404" s="67"/>
      <c r="Q404" s="67"/>
    </row>
    <row r="405" spans="10:17" x14ac:dyDescent="0.35">
      <c r="J405" s="67"/>
      <c r="K405" s="67"/>
      <c r="L405" s="67"/>
      <c r="M405" s="67"/>
      <c r="N405" s="67"/>
      <c r="O405" s="67"/>
      <c r="P405" s="67"/>
      <c r="Q405" s="67"/>
    </row>
  </sheetData>
  <mergeCells count="5">
    <mergeCell ref="A1:H1"/>
    <mergeCell ref="A2:H2"/>
    <mergeCell ref="A4:B4"/>
    <mergeCell ref="C4:E4"/>
    <mergeCell ref="A9:H9"/>
  </mergeCells>
  <conditionalFormatting sqref="A4 C4 F4:H4 A5:H8 A11:H403">
    <cfRule type="expression" dxfId="2" priority="2">
      <formula>$G4="Paid off"</formula>
    </cfRule>
  </conditionalFormatting>
  <conditionalFormatting sqref="A11:M394">
    <cfRule type="expression" dxfId="1" priority="1">
      <formula>$G11="Paid off"</formula>
    </cfRule>
  </conditionalFormatting>
  <conditionalFormatting sqref="C4 C5:D8">
    <cfRule type="expression" dxfId="0" priority="3">
      <formula>#REF!="Paid off"</formula>
    </cfRule>
  </conditionalFormatting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📋 Instructions</vt:lpstr>
      <vt:lpstr>💳 Debt Input</vt:lpstr>
      <vt:lpstr>❄️ Snowball Payoff</vt:lpstr>
      <vt:lpstr>🌊 Avalanche Payoff</vt:lpstr>
      <vt:lpstr>📊 Comparison</vt:lpstr>
      <vt:lpstr>Snowball WhatIf Calc</vt:lpstr>
      <vt:lpstr>Avalanche WhatIf Calc</vt:lpstr>
      <vt:lpstr>'❄️ Snowball Payoff'!Print_Area</vt:lpstr>
      <vt:lpstr>'Avalanche WhatIf Calc'!Print_Area</vt:lpstr>
      <vt:lpstr>'Snowball WhatIf Calc'!Print_Area</vt:lpstr>
      <vt:lpstr>'🌊 Avalanche Payoff'!Print_Area</vt:lpstr>
      <vt:lpstr>'💳 Debt Input'!Print_Area</vt:lpstr>
      <vt:lpstr>'📊 Comparison'!Print_Area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Nic L</cp:lastModifiedBy>
  <cp:revision/>
  <dcterms:created xsi:type="dcterms:W3CDTF">2026-04-05T11:13:58Z</dcterms:created>
  <dcterms:modified xsi:type="dcterms:W3CDTF">2026-04-10T09:31:25Z</dcterms:modified>
  <cp:category/>
  <cp:contentStatus/>
</cp:coreProperties>
</file>