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d.docs.live.net/41a685554e3a070b/Documents/Businesses/Applications/Financial Independence Calculator/Excel Version/For Publication/"/>
    </mc:Choice>
  </mc:AlternateContent>
  <xr:revisionPtr revIDLastSave="217" documentId="11_68540F04EF3FDD0E749DD77F02E79D1FC71C80CB" xr6:coauthVersionLast="47" xr6:coauthVersionMax="47" xr10:uidLastSave="{57F111A9-CD7C-463D-B0CA-EF6FA88AB068}"/>
  <bookViews>
    <workbookView xWindow="-28920" yWindow="-120" windowWidth="29040" windowHeight="15720" xr2:uid="{00000000-000D-0000-FFFF-FFFF00000000}"/>
  </bookViews>
  <sheets>
    <sheet name="Instructions" sheetId="1" r:id="rId1"/>
    <sheet name="Settings" sheetId="2" r:id="rId2"/>
    <sheet name="Dashboard" sheetId="3" r:id="rId3"/>
    <sheet name="Projection" sheetId="4" r:id="rId4"/>
    <sheet name="Assets" sheetId="5" r:id="rId5"/>
    <sheet name="Income" sheetId="6" r:id="rId6"/>
    <sheet name="Detailed Budget" sheetId="7" r:id="rId7"/>
    <sheet name="Simple Budget" sheetId="8" r:id="rId8"/>
    <sheet name="Liabilities" sheetId="9" r:id="rId9"/>
    <sheet name="Scenario Compare" sheetId="10" r:id="rId10"/>
    <sheet name="_helpers" sheetId="11" state="hidden" r:id="rId11"/>
  </sheets>
  <definedNames>
    <definedName name="_xlnm._FilterDatabase" localSheetId="4" hidden="1">Assets!$A$2:$I$2</definedName>
    <definedName name="_xlnm._FilterDatabase" localSheetId="6" hidden="1">'Detailed Budget'!$A$2:$F$2</definedName>
    <definedName name="_xlnm._FilterDatabase" localSheetId="5" hidden="1">Income!$A$2:$H$2</definedName>
    <definedName name="_xlnm._FilterDatabase" localSheetId="0" hidden="1">Instructions!$A$1:$G$1</definedName>
    <definedName name="_xlnm._FilterDatabase" localSheetId="8" hidden="1">Liabilities!$A$2:$I$2</definedName>
    <definedName name="_xlnm._FilterDatabase" localSheetId="3" hidden="1">Projection!$A$2:$V$2</definedName>
    <definedName name="_xlnm._FilterDatabase" localSheetId="7" hidden="1">'Simple Budget'!$A$3:$F$3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7" l="1"/>
  <c r="F64" i="4"/>
  <c r="S64" i="4" s="1"/>
  <c r="F65" i="4"/>
  <c r="F66" i="4"/>
  <c r="S66" i="4" s="1"/>
  <c r="F67" i="4"/>
  <c r="S67" i="4" s="1"/>
  <c r="F68" i="4"/>
  <c r="S68" i="4" s="1"/>
  <c r="F69" i="4"/>
  <c r="S69" i="4" s="1"/>
  <c r="C2" i="11"/>
  <c r="F83" i="4"/>
  <c r="S83" i="4" s="1"/>
  <c r="C83" i="4"/>
  <c r="V83" i="4" s="1"/>
  <c r="F82" i="4"/>
  <c r="S82" i="4" s="1"/>
  <c r="C82" i="4"/>
  <c r="V82" i="4" s="1"/>
  <c r="F81" i="4"/>
  <c r="S81" i="4" s="1"/>
  <c r="C81" i="4"/>
  <c r="D81" i="4" s="1"/>
  <c r="F80" i="4"/>
  <c r="S80" i="4" s="1"/>
  <c r="C80" i="4"/>
  <c r="F79" i="4"/>
  <c r="S79" i="4" s="1"/>
  <c r="C79" i="4"/>
  <c r="F78" i="4"/>
  <c r="S78" i="4" s="1"/>
  <c r="C78" i="4"/>
  <c r="D78" i="4" s="1"/>
  <c r="F77" i="4"/>
  <c r="S77" i="4" s="1"/>
  <c r="C77" i="4"/>
  <c r="F76" i="4"/>
  <c r="S76" i="4" s="1"/>
  <c r="C76" i="4"/>
  <c r="D76" i="4" s="1"/>
  <c r="F75" i="4"/>
  <c r="S75" i="4" s="1"/>
  <c r="C75" i="4"/>
  <c r="F74" i="4"/>
  <c r="S74" i="4" s="1"/>
  <c r="C74" i="4"/>
  <c r="F73" i="4"/>
  <c r="S73" i="4" s="1"/>
  <c r="C73" i="4"/>
  <c r="D73" i="4" s="1"/>
  <c r="F72" i="4"/>
  <c r="S72" i="4" s="1"/>
  <c r="C72" i="4"/>
  <c r="F71" i="4"/>
  <c r="S71" i="4" s="1"/>
  <c r="C71" i="4"/>
  <c r="F70" i="4"/>
  <c r="S70" i="4" s="1"/>
  <c r="C70" i="4"/>
  <c r="D70" i="4" s="1"/>
  <c r="C69" i="4"/>
  <c r="C68" i="4"/>
  <c r="D68" i="4" s="1"/>
  <c r="C67" i="4"/>
  <c r="C66" i="4"/>
  <c r="S65" i="4"/>
  <c r="C65" i="4"/>
  <c r="D65" i="4" s="1"/>
  <c r="C64" i="4"/>
  <c r="F63" i="4"/>
  <c r="S63" i="4" s="1"/>
  <c r="C63" i="4"/>
  <c r="F62" i="4"/>
  <c r="S62" i="4" s="1"/>
  <c r="C62" i="4"/>
  <c r="D62" i="4" s="1"/>
  <c r="F61" i="4"/>
  <c r="S61" i="4" s="1"/>
  <c r="C61" i="4"/>
  <c r="F60" i="4"/>
  <c r="S60" i="4" s="1"/>
  <c r="C60" i="4"/>
  <c r="F59" i="4"/>
  <c r="S59" i="4" s="1"/>
  <c r="C59" i="4"/>
  <c r="F58" i="4"/>
  <c r="S58" i="4" s="1"/>
  <c r="C58" i="4"/>
  <c r="F57" i="4"/>
  <c r="S57" i="4" s="1"/>
  <c r="C57" i="4"/>
  <c r="D57" i="4" s="1"/>
  <c r="F56" i="4"/>
  <c r="S56" i="4" s="1"/>
  <c r="C56" i="4"/>
  <c r="F55" i="4"/>
  <c r="S55" i="4" s="1"/>
  <c r="C55" i="4"/>
  <c r="F54" i="4"/>
  <c r="S54" i="4" s="1"/>
  <c r="C54" i="4"/>
  <c r="D54" i="4" s="1"/>
  <c r="F53" i="4"/>
  <c r="S53" i="4" s="1"/>
  <c r="C53" i="4"/>
  <c r="F52" i="4"/>
  <c r="S52" i="4" s="1"/>
  <c r="C52" i="4"/>
  <c r="D52" i="4" s="1"/>
  <c r="F51" i="4"/>
  <c r="S51" i="4" s="1"/>
  <c r="C51" i="4"/>
  <c r="F50" i="4"/>
  <c r="S50" i="4" s="1"/>
  <c r="C50" i="4"/>
  <c r="F49" i="4"/>
  <c r="S49" i="4" s="1"/>
  <c r="C49" i="4"/>
  <c r="V49" i="4" s="1"/>
  <c r="F48" i="4"/>
  <c r="S48" i="4" s="1"/>
  <c r="C48" i="4"/>
  <c r="F47" i="4"/>
  <c r="S47" i="4" s="1"/>
  <c r="C47" i="4"/>
  <c r="D47" i="4" s="1"/>
  <c r="E47" i="4" s="1"/>
  <c r="F46" i="4"/>
  <c r="S46" i="4" s="1"/>
  <c r="C46" i="4"/>
  <c r="F45" i="4"/>
  <c r="S45" i="4" s="1"/>
  <c r="C45" i="4"/>
  <c r="V45" i="4" s="1"/>
  <c r="F44" i="4"/>
  <c r="S44" i="4" s="1"/>
  <c r="C44" i="4"/>
  <c r="D44" i="4" s="1"/>
  <c r="F43" i="4"/>
  <c r="S43" i="4" s="1"/>
  <c r="C43" i="4"/>
  <c r="V43" i="4" s="1"/>
  <c r="F42" i="4"/>
  <c r="S42" i="4" s="1"/>
  <c r="C42" i="4"/>
  <c r="D42" i="4" s="1"/>
  <c r="F41" i="4"/>
  <c r="S41" i="4" s="1"/>
  <c r="C41" i="4"/>
  <c r="V41" i="4" s="1"/>
  <c r="F40" i="4"/>
  <c r="S40" i="4" s="1"/>
  <c r="C40" i="4"/>
  <c r="D40" i="4" s="1"/>
  <c r="F39" i="4"/>
  <c r="S39" i="4" s="1"/>
  <c r="C39" i="4"/>
  <c r="D39" i="4" s="1"/>
  <c r="F38" i="4"/>
  <c r="S38" i="4" s="1"/>
  <c r="C38" i="4"/>
  <c r="F37" i="4"/>
  <c r="S37" i="4" s="1"/>
  <c r="C37" i="4"/>
  <c r="F36" i="4"/>
  <c r="S36" i="4" s="1"/>
  <c r="C36" i="4"/>
  <c r="F35" i="4"/>
  <c r="S35" i="4" s="1"/>
  <c r="C35" i="4"/>
  <c r="F34" i="4"/>
  <c r="S34" i="4" s="1"/>
  <c r="C34" i="4"/>
  <c r="F33" i="4"/>
  <c r="S33" i="4" s="1"/>
  <c r="C33" i="4"/>
  <c r="D33" i="4" s="1"/>
  <c r="F32" i="4"/>
  <c r="S32" i="4" s="1"/>
  <c r="C32" i="4"/>
  <c r="F31" i="4"/>
  <c r="S31" i="4" s="1"/>
  <c r="C31" i="4"/>
  <c r="F30" i="4"/>
  <c r="S30" i="4" s="1"/>
  <c r="C30" i="4"/>
  <c r="F29" i="4"/>
  <c r="S29" i="4" s="1"/>
  <c r="C29" i="4"/>
  <c r="D29" i="4" s="1"/>
  <c r="F28" i="4"/>
  <c r="S28" i="4" s="1"/>
  <c r="C28" i="4"/>
  <c r="F27" i="4"/>
  <c r="S27" i="4" s="1"/>
  <c r="C27" i="4"/>
  <c r="D27" i="4" s="1"/>
  <c r="F26" i="4"/>
  <c r="S26" i="4" s="1"/>
  <c r="C26" i="4"/>
  <c r="F25" i="4"/>
  <c r="S25" i="4" s="1"/>
  <c r="C25" i="4"/>
  <c r="D25" i="4" s="1"/>
  <c r="F24" i="4"/>
  <c r="S24" i="4" s="1"/>
  <c r="C24" i="4"/>
  <c r="D24" i="4" s="1"/>
  <c r="F23" i="4"/>
  <c r="S23" i="4" s="1"/>
  <c r="C23" i="4"/>
  <c r="F22" i="4"/>
  <c r="S22" i="4" s="1"/>
  <c r="C22" i="4"/>
  <c r="D22" i="4" s="1"/>
  <c r="F21" i="4"/>
  <c r="S21" i="4" s="1"/>
  <c r="C21" i="4"/>
  <c r="F20" i="4"/>
  <c r="C20" i="4"/>
  <c r="D20" i="4" s="1"/>
  <c r="F19" i="4"/>
  <c r="S19" i="4" s="1"/>
  <c r="C19" i="4"/>
  <c r="D19" i="4" s="1"/>
  <c r="F18" i="4"/>
  <c r="S18" i="4" s="1"/>
  <c r="C18" i="4"/>
  <c r="D18" i="4" s="1"/>
  <c r="F17" i="4"/>
  <c r="S17" i="4" s="1"/>
  <c r="C17" i="4"/>
  <c r="D17" i="4" s="1"/>
  <c r="E17" i="4" s="1"/>
  <c r="F16" i="4"/>
  <c r="S16" i="4" s="1"/>
  <c r="C16" i="4"/>
  <c r="D16" i="4" s="1"/>
  <c r="F15" i="4"/>
  <c r="S15" i="4" s="1"/>
  <c r="C15" i="4"/>
  <c r="F14" i="4"/>
  <c r="S14" i="4" s="1"/>
  <c r="C14" i="4"/>
  <c r="D14" i="4" s="1"/>
  <c r="F13" i="4"/>
  <c r="S13" i="4" s="1"/>
  <c r="C13" i="4"/>
  <c r="D13" i="4" s="1"/>
  <c r="E13" i="4" s="1"/>
  <c r="F12" i="4"/>
  <c r="S12" i="4" s="1"/>
  <c r="C12" i="4"/>
  <c r="D12" i="4" s="1"/>
  <c r="F11" i="4"/>
  <c r="S11" i="4" s="1"/>
  <c r="C11" i="4"/>
  <c r="D11" i="4" s="1"/>
  <c r="E11" i="4" s="1"/>
  <c r="F10" i="4"/>
  <c r="S10" i="4" s="1"/>
  <c r="C10" i="4"/>
  <c r="D10" i="4" s="1"/>
  <c r="F9" i="4"/>
  <c r="S9" i="4" s="1"/>
  <c r="C9" i="4"/>
  <c r="D9" i="4" s="1"/>
  <c r="E9" i="4" s="1"/>
  <c r="F8" i="4"/>
  <c r="S8" i="4" s="1"/>
  <c r="C8" i="4"/>
  <c r="D8" i="4" s="1"/>
  <c r="F7" i="4"/>
  <c r="S7" i="4" s="1"/>
  <c r="C7" i="4"/>
  <c r="F6" i="4"/>
  <c r="S6" i="4" s="1"/>
  <c r="C6" i="4"/>
  <c r="F5" i="4"/>
  <c r="S5" i="4" s="1"/>
  <c r="C5" i="4"/>
  <c r="D5" i="4" s="1"/>
  <c r="E5" i="4" s="1"/>
  <c r="F4" i="4"/>
  <c r="S4" i="4" s="1"/>
  <c r="C4" i="4"/>
  <c r="F3" i="4"/>
  <c r="S3" i="4" s="1"/>
  <c r="C3" i="4"/>
  <c r="B3" i="4"/>
  <c r="B4" i="4" s="1"/>
  <c r="H9" i="4" l="1"/>
  <c r="M9" i="4" s="1"/>
  <c r="H47" i="4"/>
  <c r="M47" i="4" s="1"/>
  <c r="E18" i="4"/>
  <c r="H18" i="4" s="1"/>
  <c r="M18" i="4" s="1"/>
  <c r="H11" i="4"/>
  <c r="M11" i="4" s="1"/>
  <c r="D43" i="4"/>
  <c r="E43" i="4" s="1"/>
  <c r="H13" i="4"/>
  <c r="M13" i="4" s="1"/>
  <c r="H17" i="4"/>
  <c r="M17" i="4" s="1"/>
  <c r="D45" i="4"/>
  <c r="E45" i="4" s="1"/>
  <c r="H45" i="4" s="1"/>
  <c r="M45" i="4" s="1"/>
  <c r="H5" i="4"/>
  <c r="M5" i="4" s="1"/>
  <c r="B5" i="4"/>
  <c r="O5" i="4" s="1"/>
  <c r="O4" i="4"/>
  <c r="O3" i="4"/>
  <c r="J3" i="4" s="1"/>
  <c r="V42" i="4"/>
  <c r="T4" i="4"/>
  <c r="E42" i="4"/>
  <c r="H42" i="4" s="1"/>
  <c r="M42" i="4" s="1"/>
  <c r="C3" i="11"/>
  <c r="E39" i="4"/>
  <c r="D82" i="4"/>
  <c r="E82" i="4" s="1"/>
  <c r="D3" i="4"/>
  <c r="E3" i="4" s="1"/>
  <c r="E16" i="4"/>
  <c r="E40" i="4"/>
  <c r="D83" i="4"/>
  <c r="E83" i="4" s="1"/>
  <c r="V44" i="4"/>
  <c r="E20" i="4"/>
  <c r="H20" i="4" s="1"/>
  <c r="M20" i="4" s="1"/>
  <c r="B3" i="10"/>
  <c r="F3" i="10" s="1"/>
  <c r="T3" i="4"/>
  <c r="V32" i="4"/>
  <c r="D32" i="4"/>
  <c r="E32" i="4" s="1"/>
  <c r="D4" i="4"/>
  <c r="E4" i="4" s="1"/>
  <c r="H4" i="4" s="1"/>
  <c r="E10" i="4"/>
  <c r="D26" i="4"/>
  <c r="E26" i="4" s="1"/>
  <c r="E12" i="4"/>
  <c r="E14" i="4"/>
  <c r="D6" i="4"/>
  <c r="E6" i="4" s="1"/>
  <c r="D15" i="4"/>
  <c r="E15" i="4" s="1"/>
  <c r="D7" i="4"/>
  <c r="E7" i="4" s="1"/>
  <c r="H7" i="4" s="1"/>
  <c r="E8" i="4"/>
  <c r="S20" i="4"/>
  <c r="E25" i="4"/>
  <c r="V34" i="4"/>
  <c r="D34" i="4"/>
  <c r="E34" i="4" s="1"/>
  <c r="V29" i="4"/>
  <c r="E29" i="4"/>
  <c r="V36" i="4"/>
  <c r="D36" i="4"/>
  <c r="E36" i="4" s="1"/>
  <c r="D41" i="4"/>
  <c r="E41" i="4" s="1"/>
  <c r="D48" i="4"/>
  <c r="E48" i="4" s="1"/>
  <c r="V48" i="4"/>
  <c r="D49" i="4"/>
  <c r="E49" i="4" s="1"/>
  <c r="E24" i="4"/>
  <c r="V31" i="4"/>
  <c r="D38" i="4"/>
  <c r="E38" i="4" s="1"/>
  <c r="D46" i="4"/>
  <c r="E46" i="4" s="1"/>
  <c r="V46" i="4"/>
  <c r="D23" i="4"/>
  <c r="E23" i="4" s="1"/>
  <c r="D31" i="4"/>
  <c r="E31" i="4" s="1"/>
  <c r="V33" i="4"/>
  <c r="E33" i="4"/>
  <c r="E22" i="4"/>
  <c r="V35" i="4"/>
  <c r="V38" i="4"/>
  <c r="D21" i="4"/>
  <c r="E21" i="4" s="1"/>
  <c r="V28" i="4"/>
  <c r="D28" i="4"/>
  <c r="E28" i="4" s="1"/>
  <c r="D35" i="4"/>
  <c r="E35" i="4" s="1"/>
  <c r="V37" i="4"/>
  <c r="E19" i="4"/>
  <c r="E27" i="4"/>
  <c r="V30" i="4"/>
  <c r="D30" i="4"/>
  <c r="E30" i="4" s="1"/>
  <c r="D37" i="4"/>
  <c r="E37" i="4" s="1"/>
  <c r="V47" i="4"/>
  <c r="V51" i="4"/>
  <c r="D51" i="4"/>
  <c r="E51" i="4" s="1"/>
  <c r="V61" i="4"/>
  <c r="D61" i="4"/>
  <c r="E61" i="4" s="1"/>
  <c r="V69" i="4"/>
  <c r="D69" i="4"/>
  <c r="E69" i="4" s="1"/>
  <c r="V53" i="4"/>
  <c r="D53" i="4"/>
  <c r="E53" i="4" s="1"/>
  <c r="V77" i="4"/>
  <c r="D77" i="4"/>
  <c r="E77" i="4" s="1"/>
  <c r="V39" i="4"/>
  <c r="V40" i="4"/>
  <c r="E44" i="4"/>
  <c r="V52" i="4"/>
  <c r="E52" i="4"/>
  <c r="V60" i="4"/>
  <c r="V68" i="4"/>
  <c r="E68" i="4"/>
  <c r="V76" i="4"/>
  <c r="E76" i="4"/>
  <c r="V59" i="4"/>
  <c r="D60" i="4"/>
  <c r="E60" i="4" s="1"/>
  <c r="V67" i="4"/>
  <c r="V75" i="4"/>
  <c r="V50" i="4"/>
  <c r="V58" i="4"/>
  <c r="D59" i="4"/>
  <c r="E59" i="4" s="1"/>
  <c r="V66" i="4"/>
  <c r="D67" i="4"/>
  <c r="E67" i="4" s="1"/>
  <c r="V74" i="4"/>
  <c r="D75" i="4"/>
  <c r="E75" i="4" s="1"/>
  <c r="D50" i="4"/>
  <c r="E50" i="4" s="1"/>
  <c r="V57" i="4"/>
  <c r="E57" i="4"/>
  <c r="D58" i="4"/>
  <c r="E58" i="4" s="1"/>
  <c r="V65" i="4"/>
  <c r="E65" i="4"/>
  <c r="D66" i="4"/>
  <c r="E66" i="4" s="1"/>
  <c r="V73" i="4"/>
  <c r="E73" i="4"/>
  <c r="D74" i="4"/>
  <c r="E74" i="4" s="1"/>
  <c r="V81" i="4"/>
  <c r="E81" i="4"/>
  <c r="V56" i="4"/>
  <c r="V64" i="4"/>
  <c r="V72" i="4"/>
  <c r="V80" i="4"/>
  <c r="V55" i="4"/>
  <c r="D56" i="4"/>
  <c r="E56" i="4" s="1"/>
  <c r="V63" i="4"/>
  <c r="D64" i="4"/>
  <c r="E64" i="4" s="1"/>
  <c r="V71" i="4"/>
  <c r="D72" i="4"/>
  <c r="E72" i="4" s="1"/>
  <c r="V79" i="4"/>
  <c r="D80" i="4"/>
  <c r="E80" i="4" s="1"/>
  <c r="V54" i="4"/>
  <c r="E54" i="4"/>
  <c r="D55" i="4"/>
  <c r="E55" i="4" s="1"/>
  <c r="V62" i="4"/>
  <c r="E62" i="4"/>
  <c r="D63" i="4"/>
  <c r="E63" i="4" s="1"/>
  <c r="V70" i="4"/>
  <c r="E70" i="4"/>
  <c r="D71" i="4"/>
  <c r="E71" i="4" s="1"/>
  <c r="V78" i="4"/>
  <c r="E78" i="4"/>
  <c r="D79" i="4"/>
  <c r="E79" i="4" s="1"/>
  <c r="V20" i="4" l="1"/>
  <c r="J4" i="4"/>
  <c r="J5" i="4" s="1"/>
  <c r="V5" i="4"/>
  <c r="V18" i="4"/>
  <c r="V9" i="4"/>
  <c r="V11" i="4"/>
  <c r="V13" i="4"/>
  <c r="V17" i="4"/>
  <c r="B6" i="4"/>
  <c r="T6" i="4" s="1"/>
  <c r="T5" i="4"/>
  <c r="H83" i="4"/>
  <c r="M83" i="4" s="1"/>
  <c r="H80" i="4"/>
  <c r="M80" i="4" s="1"/>
  <c r="H26" i="4"/>
  <c r="H34" i="4"/>
  <c r="M34" i="4" s="1"/>
  <c r="H46" i="4"/>
  <c r="M46" i="4" s="1"/>
  <c r="H74" i="4"/>
  <c r="M74" i="4" s="1"/>
  <c r="H82" i="4"/>
  <c r="M82" i="4" s="1"/>
  <c r="H62" i="4"/>
  <c r="M62" i="4" s="1"/>
  <c r="H71" i="4"/>
  <c r="M71" i="4" s="1"/>
  <c r="H52" i="4"/>
  <c r="M52" i="4" s="1"/>
  <c r="H37" i="4"/>
  <c r="M37" i="4" s="1"/>
  <c r="H48" i="4"/>
  <c r="M48" i="4" s="1"/>
  <c r="H77" i="4"/>
  <c r="M77" i="4" s="1"/>
  <c r="H79" i="4"/>
  <c r="M79" i="4" s="1"/>
  <c r="H65" i="4"/>
  <c r="M65" i="4" s="1"/>
  <c r="H67" i="4"/>
  <c r="M67" i="4" s="1"/>
  <c r="H60" i="4"/>
  <c r="M60" i="4" s="1"/>
  <c r="H69" i="4"/>
  <c r="M69" i="4" s="1"/>
  <c r="H30" i="4"/>
  <c r="M30" i="4" s="1"/>
  <c r="H35" i="4"/>
  <c r="M35" i="4" s="1"/>
  <c r="H40" i="4"/>
  <c r="M40" i="4" s="1"/>
  <c r="H68" i="4"/>
  <c r="M68" i="4" s="1"/>
  <c r="H78" i="4"/>
  <c r="M78" i="4" s="1"/>
  <c r="H64" i="4"/>
  <c r="M64" i="4" s="1"/>
  <c r="H66" i="4"/>
  <c r="M66" i="4" s="1"/>
  <c r="H44" i="4"/>
  <c r="M44" i="4" s="1"/>
  <c r="H28" i="4"/>
  <c r="M28" i="4" s="1"/>
  <c r="H38" i="4"/>
  <c r="M38" i="4" s="1"/>
  <c r="H41" i="4"/>
  <c r="M41" i="4" s="1"/>
  <c r="H6" i="4"/>
  <c r="M6" i="4" s="1"/>
  <c r="H10" i="4"/>
  <c r="M10" i="4" s="1"/>
  <c r="H16" i="4"/>
  <c r="V16" i="4" s="1"/>
  <c r="H70" i="4"/>
  <c r="M70" i="4" s="1"/>
  <c r="H55" i="4"/>
  <c r="M55" i="4" s="1"/>
  <c r="H54" i="4"/>
  <c r="M54" i="4" s="1"/>
  <c r="H81" i="4"/>
  <c r="M81" i="4" s="1"/>
  <c r="H58" i="4"/>
  <c r="M58" i="4" s="1"/>
  <c r="H76" i="4"/>
  <c r="M76" i="4" s="1"/>
  <c r="H61" i="4"/>
  <c r="M61" i="4" s="1"/>
  <c r="H27" i="4"/>
  <c r="H33" i="4"/>
  <c r="M33" i="4" s="1"/>
  <c r="H36" i="4"/>
  <c r="M36" i="4" s="1"/>
  <c r="H25" i="4"/>
  <c r="H15" i="4"/>
  <c r="M15" i="4" s="1"/>
  <c r="H56" i="4"/>
  <c r="M56" i="4" s="1"/>
  <c r="H57" i="4"/>
  <c r="M57" i="4" s="1"/>
  <c r="H59" i="4"/>
  <c r="M59" i="4" s="1"/>
  <c r="H21" i="4"/>
  <c r="H24" i="4"/>
  <c r="H14" i="4"/>
  <c r="M14" i="4" s="1"/>
  <c r="H32" i="4"/>
  <c r="M32" i="4" s="1"/>
  <c r="H3" i="4"/>
  <c r="V3" i="4" s="1"/>
  <c r="H31" i="4"/>
  <c r="M31" i="4" s="1"/>
  <c r="H73" i="4"/>
  <c r="M73" i="4" s="1"/>
  <c r="H51" i="4"/>
  <c r="M51" i="4" s="1"/>
  <c r="H29" i="4"/>
  <c r="M29" i="4" s="1"/>
  <c r="H12" i="4"/>
  <c r="V12" i="4" s="1"/>
  <c r="H50" i="4"/>
  <c r="M50" i="4" s="1"/>
  <c r="H19" i="4"/>
  <c r="H23" i="4"/>
  <c r="H49" i="4"/>
  <c r="M49" i="4" s="1"/>
  <c r="H39" i="4"/>
  <c r="M39" i="4" s="1"/>
  <c r="H63" i="4"/>
  <c r="M63" i="4" s="1"/>
  <c r="H72" i="4"/>
  <c r="M72" i="4" s="1"/>
  <c r="H75" i="4"/>
  <c r="M75" i="4" s="1"/>
  <c r="H53" i="4"/>
  <c r="M53" i="4" s="1"/>
  <c r="H22" i="4"/>
  <c r="H43" i="4"/>
  <c r="M43" i="4" s="1"/>
  <c r="H8" i="4"/>
  <c r="V8" i="4" s="1"/>
  <c r="M4" i="4"/>
  <c r="V4" i="4"/>
  <c r="M7" i="4"/>
  <c r="V7" i="4"/>
  <c r="M24" i="4" l="1"/>
  <c r="V24" i="4"/>
  <c r="M27" i="4"/>
  <c r="V27" i="4"/>
  <c r="M23" i="4"/>
  <c r="V23" i="4"/>
  <c r="M25" i="4"/>
  <c r="V25" i="4"/>
  <c r="M26" i="4"/>
  <c r="V26" i="4"/>
  <c r="M22" i="4"/>
  <c r="V22" i="4"/>
  <c r="M21" i="4"/>
  <c r="V21" i="4"/>
  <c r="M19" i="4"/>
  <c r="V19" i="4"/>
  <c r="V10" i="4"/>
  <c r="O6" i="4"/>
  <c r="J6" i="4" s="1"/>
  <c r="V6" i="4"/>
  <c r="V15" i="4"/>
  <c r="B7" i="4"/>
  <c r="O7" i="4" s="1"/>
  <c r="V14" i="4"/>
  <c r="M8" i="4"/>
  <c r="M12" i="4"/>
  <c r="M3" i="4"/>
  <c r="M16" i="4"/>
  <c r="B9" i="10"/>
  <c r="F9" i="10" s="1"/>
  <c r="E6" i="3"/>
  <c r="T7" i="4" l="1"/>
  <c r="B8" i="4"/>
  <c r="B9" i="4" s="1"/>
  <c r="J7" i="4"/>
  <c r="N3" i="4"/>
  <c r="T8" i="4" l="1"/>
  <c r="O8" i="4"/>
  <c r="J8" i="4" s="1"/>
  <c r="I3" i="4"/>
  <c r="N4" i="4" s="1"/>
  <c r="P3" i="4"/>
  <c r="K3" i="4" s="1"/>
  <c r="B10" i="4"/>
  <c r="O9" i="4"/>
  <c r="T9" i="4"/>
  <c r="L3" i="4" l="1"/>
  <c r="J9" i="4"/>
  <c r="Q3" i="4"/>
  <c r="I4" i="4"/>
  <c r="P4" i="4"/>
  <c r="K4" i="4" s="1"/>
  <c r="O10" i="4"/>
  <c r="B11" i="4"/>
  <c r="T10" i="4"/>
  <c r="I6" i="3" l="1"/>
  <c r="R3" i="4"/>
  <c r="B7" i="10" s="1"/>
  <c r="F7" i="10" s="1"/>
  <c r="B8" i="10"/>
  <c r="F8" i="10" s="1"/>
  <c r="U3" i="4"/>
  <c r="J10" i="4"/>
  <c r="Q4" i="4"/>
  <c r="N5" i="4"/>
  <c r="I5" i="4" s="1"/>
  <c r="L4" i="4"/>
  <c r="O11" i="4"/>
  <c r="B12" i="4"/>
  <c r="T11" i="4"/>
  <c r="J11" i="4" l="1"/>
  <c r="N6" i="4"/>
  <c r="U4" i="4"/>
  <c r="R4" i="4"/>
  <c r="P5" i="4"/>
  <c r="K5" i="4" s="1"/>
  <c r="L5" i="4" s="1"/>
  <c r="B13" i="4"/>
  <c r="O12" i="4"/>
  <c r="T12" i="4"/>
  <c r="J12" i="4" l="1"/>
  <c r="R5" i="4"/>
  <c r="U5" i="4"/>
  <c r="I6" i="4"/>
  <c r="P6" i="4"/>
  <c r="K6" i="4" s="1"/>
  <c r="Q5" i="4"/>
  <c r="O13" i="4"/>
  <c r="B14" i="4"/>
  <c r="T13" i="4"/>
  <c r="J13" i="4" l="1"/>
  <c r="Q6" i="4"/>
  <c r="N7" i="4"/>
  <c r="L6" i="4"/>
  <c r="B15" i="4"/>
  <c r="O14" i="4"/>
  <c r="T14" i="4"/>
  <c r="J14" i="4" l="1"/>
  <c r="R6" i="4"/>
  <c r="U6" i="4"/>
  <c r="I7" i="4"/>
  <c r="P7" i="4"/>
  <c r="K7" i="4" s="1"/>
  <c r="O15" i="4"/>
  <c r="B16" i="4"/>
  <c r="T15" i="4"/>
  <c r="J15" i="4" l="1"/>
  <c r="Q7" i="4"/>
  <c r="N8" i="4"/>
  <c r="L7" i="4"/>
  <c r="O16" i="4"/>
  <c r="B17" i="4"/>
  <c r="T16" i="4"/>
  <c r="J16" i="4" l="1"/>
  <c r="R7" i="4"/>
  <c r="U7" i="4"/>
  <c r="I8" i="4"/>
  <c r="P8" i="4"/>
  <c r="K8" i="4" s="1"/>
  <c r="O17" i="4"/>
  <c r="B18" i="4"/>
  <c r="T17" i="4"/>
  <c r="J17" i="4" l="1"/>
  <c r="N9" i="4"/>
  <c r="I9" i="4" s="1"/>
  <c r="L8" i="4"/>
  <c r="Q8" i="4"/>
  <c r="B19" i="4"/>
  <c r="O18" i="4"/>
  <c r="T18" i="4"/>
  <c r="J18" i="4" l="1"/>
  <c r="N10" i="4"/>
  <c r="U8" i="4"/>
  <c r="R8" i="4"/>
  <c r="P9" i="4"/>
  <c r="K9" i="4" s="1"/>
  <c r="L9" i="4" s="1"/>
  <c r="O19" i="4"/>
  <c r="B20" i="4"/>
  <c r="T19" i="4"/>
  <c r="J19" i="4" l="1"/>
  <c r="R9" i="4"/>
  <c r="U9" i="4"/>
  <c r="Q9" i="4"/>
  <c r="I10" i="4"/>
  <c r="P10" i="4"/>
  <c r="K10" i="4" s="1"/>
  <c r="O20" i="4"/>
  <c r="B21" i="4"/>
  <c r="T20" i="4"/>
  <c r="J20" i="4" l="1"/>
  <c r="L10" i="4"/>
  <c r="U10" i="4" s="1"/>
  <c r="N11" i="4"/>
  <c r="I11" i="4" s="1"/>
  <c r="Q10" i="4"/>
  <c r="O21" i="4"/>
  <c r="B22" i="4"/>
  <c r="T21" i="4"/>
  <c r="J21" i="4" l="1"/>
  <c r="O22" i="4" s="1"/>
  <c r="R10" i="4"/>
  <c r="N12" i="4"/>
  <c r="I12" i="4" s="1"/>
  <c r="P11" i="4"/>
  <c r="K11" i="4" s="1"/>
  <c r="L11" i="4" s="1"/>
  <c r="B23" i="4"/>
  <c r="T22" i="4"/>
  <c r="J22" i="4" l="1"/>
  <c r="O23" i="4" s="1"/>
  <c r="R11" i="4"/>
  <c r="U11" i="4"/>
  <c r="N13" i="4"/>
  <c r="I13" i="4" s="1"/>
  <c r="Q11" i="4"/>
  <c r="P12" i="4"/>
  <c r="K12" i="4" s="1"/>
  <c r="L12" i="4" s="1"/>
  <c r="B24" i="4"/>
  <c r="T23" i="4"/>
  <c r="J23" i="4" l="1"/>
  <c r="U12" i="4"/>
  <c r="R12" i="4"/>
  <c r="N14" i="4"/>
  <c r="Q12" i="4"/>
  <c r="P13" i="4"/>
  <c r="K13" i="4" s="1"/>
  <c r="L13" i="4" s="1"/>
  <c r="O24" i="4"/>
  <c r="B25" i="4"/>
  <c r="T24" i="4"/>
  <c r="J24" i="4" l="1"/>
  <c r="R13" i="4"/>
  <c r="U13" i="4"/>
  <c r="I14" i="4"/>
  <c r="P14" i="4"/>
  <c r="K14" i="4" s="1"/>
  <c r="Q13" i="4"/>
  <c r="B26" i="4"/>
  <c r="T25" i="4"/>
  <c r="N15" i="4" l="1"/>
  <c r="P15" i="4" s="1"/>
  <c r="Q15" i="4" s="1"/>
  <c r="L14" i="4"/>
  <c r="Q14" i="4"/>
  <c r="B27" i="4"/>
  <c r="T26" i="4"/>
  <c r="I15" i="4" l="1"/>
  <c r="U14" i="4"/>
  <c r="R14" i="4"/>
  <c r="K15" i="4"/>
  <c r="B28" i="4"/>
  <c r="T27" i="4"/>
  <c r="N16" i="4" l="1"/>
  <c r="P16" i="4" s="1"/>
  <c r="Q16" i="4" s="1"/>
  <c r="L15" i="4"/>
  <c r="B29" i="4"/>
  <c r="T28" i="4"/>
  <c r="I16" i="4" l="1"/>
  <c r="R15" i="4"/>
  <c r="U15" i="4"/>
  <c r="K16" i="4"/>
  <c r="B30" i="4"/>
  <c r="T29" i="4"/>
  <c r="L16" i="4" l="1"/>
  <c r="U16" i="4" s="1"/>
  <c r="N17" i="4"/>
  <c r="I17" i="4" s="1"/>
  <c r="B31" i="4"/>
  <c r="T30" i="4"/>
  <c r="R16" i="4" l="1"/>
  <c r="N18" i="4"/>
  <c r="I18" i="4" s="1"/>
  <c r="P17" i="4"/>
  <c r="K17" i="4" s="1"/>
  <c r="L17" i="4" s="1"/>
  <c r="B32" i="4"/>
  <c r="T31" i="4"/>
  <c r="R17" i="4" l="1"/>
  <c r="U17" i="4"/>
  <c r="N19" i="4"/>
  <c r="Q17" i="4"/>
  <c r="P18" i="4"/>
  <c r="K18" i="4" s="1"/>
  <c r="L18" i="4" s="1"/>
  <c r="B33" i="4"/>
  <c r="T32" i="4"/>
  <c r="R18" i="4" l="1"/>
  <c r="U18" i="4"/>
  <c r="P19" i="4"/>
  <c r="K19" i="4" s="1"/>
  <c r="Q18" i="4"/>
  <c r="I19" i="4"/>
  <c r="B34" i="4"/>
  <c r="T33" i="4"/>
  <c r="N20" i="4" l="1"/>
  <c r="L19" i="4"/>
  <c r="Q19" i="4"/>
  <c r="B35" i="4"/>
  <c r="T34" i="4"/>
  <c r="U19" i="4" l="1"/>
  <c r="R19" i="4"/>
  <c r="I20" i="4"/>
  <c r="P20" i="4"/>
  <c r="B36" i="4"/>
  <c r="T35" i="4"/>
  <c r="K20" i="4" l="1"/>
  <c r="L20" i="4" s="1"/>
  <c r="Q20" i="4"/>
  <c r="N21" i="4"/>
  <c r="I21" i="4" s="1"/>
  <c r="B37" i="4"/>
  <c r="T36" i="4"/>
  <c r="N22" i="4" l="1"/>
  <c r="P21" i="4"/>
  <c r="K21" i="4" s="1"/>
  <c r="L21" i="4" s="1"/>
  <c r="U20" i="4"/>
  <c r="R20" i="4"/>
  <c r="B38" i="4"/>
  <c r="T37" i="4"/>
  <c r="U21" i="4" l="1"/>
  <c r="R21" i="4"/>
  <c r="Q21" i="4"/>
  <c r="P22" i="4"/>
  <c r="K22" i="4" s="1"/>
  <c r="I22" i="4"/>
  <c r="B39" i="4"/>
  <c r="T38" i="4"/>
  <c r="N23" i="4" l="1"/>
  <c r="L22" i="4"/>
  <c r="Q22" i="4"/>
  <c r="B40" i="4"/>
  <c r="T39" i="4"/>
  <c r="R22" i="4" l="1"/>
  <c r="U22" i="4"/>
  <c r="I23" i="4"/>
  <c r="P23" i="4"/>
  <c r="K23" i="4" s="1"/>
  <c r="B41" i="4"/>
  <c r="T40" i="4"/>
  <c r="L23" i="4" l="1"/>
  <c r="R23" i="4" s="1"/>
  <c r="N24" i="4"/>
  <c r="P24" i="4" s="1"/>
  <c r="Q24" i="4" s="1"/>
  <c r="Q23" i="4"/>
  <c r="B42" i="4"/>
  <c r="T41" i="4"/>
  <c r="U23" i="4" l="1"/>
  <c r="I24" i="4"/>
  <c r="K24" i="4"/>
  <c r="B43" i="4"/>
  <c r="T42" i="4"/>
  <c r="N25" i="4" l="1"/>
  <c r="L24" i="4"/>
  <c r="B44" i="4"/>
  <c r="T43" i="4"/>
  <c r="O25" i="4" l="1"/>
  <c r="J25" i="4" s="1"/>
  <c r="U24" i="4"/>
  <c r="R24" i="4"/>
  <c r="I25" i="4"/>
  <c r="B45" i="4"/>
  <c r="T44" i="4"/>
  <c r="P25" i="4" l="1"/>
  <c r="N26" i="4"/>
  <c r="O26" i="4" s="1"/>
  <c r="J26" i="4" s="1"/>
  <c r="B46" i="4"/>
  <c r="T45" i="4"/>
  <c r="Q25" i="4" l="1"/>
  <c r="K25" i="4"/>
  <c r="L25" i="4" s="1"/>
  <c r="U25" i="4" s="1"/>
  <c r="I26" i="4"/>
  <c r="B47" i="4"/>
  <c r="T46" i="4"/>
  <c r="P26" i="4" l="1"/>
  <c r="K26" i="4" s="1"/>
  <c r="L26" i="4" s="1"/>
  <c r="R25" i="4"/>
  <c r="N27" i="4"/>
  <c r="B48" i="4"/>
  <c r="T47" i="4"/>
  <c r="Q26" i="4" l="1"/>
  <c r="I27" i="4"/>
  <c r="N28" i="4" s="1"/>
  <c r="O27" i="4"/>
  <c r="J27" i="4" s="1"/>
  <c r="U26" i="4"/>
  <c r="R26" i="4"/>
  <c r="B49" i="4"/>
  <c r="T48" i="4"/>
  <c r="P27" i="4" l="1"/>
  <c r="K27" i="4" s="1"/>
  <c r="L27" i="4" s="1"/>
  <c r="U27" i="4" s="1"/>
  <c r="O28" i="4"/>
  <c r="J28" i="4" s="1"/>
  <c r="I28" i="4"/>
  <c r="N29" i="4" s="1"/>
  <c r="I29" i="4" s="1"/>
  <c r="N30" i="4" s="1"/>
  <c r="B50" i="4"/>
  <c r="T49" i="4"/>
  <c r="P28" i="4" l="1"/>
  <c r="K28" i="4" s="1"/>
  <c r="L28" i="4" s="1"/>
  <c r="U28" i="4" s="1"/>
  <c r="Q27" i="4"/>
  <c r="R27" i="4"/>
  <c r="O29" i="4"/>
  <c r="J29" i="4" s="1"/>
  <c r="O30" i="4" s="1"/>
  <c r="I30" i="4"/>
  <c r="B51" i="4"/>
  <c r="T50" i="4"/>
  <c r="Q28" i="4" l="1"/>
  <c r="R28" i="4"/>
  <c r="P29" i="4"/>
  <c r="K29" i="4" s="1"/>
  <c r="L29" i="4" s="1"/>
  <c r="R29" i="4" s="1"/>
  <c r="N31" i="4"/>
  <c r="J30" i="4"/>
  <c r="B52" i="4"/>
  <c r="T51" i="4"/>
  <c r="U29" i="4" l="1"/>
  <c r="P30" i="4"/>
  <c r="K30" i="4" s="1"/>
  <c r="L30" i="4" s="1"/>
  <c r="Q29" i="4"/>
  <c r="O31" i="4"/>
  <c r="J31" i="4" s="1"/>
  <c r="I31" i="4"/>
  <c r="B53" i="4"/>
  <c r="T52" i="4"/>
  <c r="Q30" i="4" l="1"/>
  <c r="B54" i="4"/>
  <c r="T53" i="4"/>
  <c r="P31" i="4"/>
  <c r="K31" i="4" s="1"/>
  <c r="U30" i="4"/>
  <c r="R30" i="4"/>
  <c r="N32" i="4"/>
  <c r="I32" i="4" s="1"/>
  <c r="N33" i="4" l="1"/>
  <c r="Q31" i="4"/>
  <c r="L31" i="4"/>
  <c r="B55" i="4"/>
  <c r="T54" i="4"/>
  <c r="O32" i="4"/>
  <c r="J32" i="4" s="1"/>
  <c r="B56" i="4" l="1"/>
  <c r="T55" i="4"/>
  <c r="O33" i="4"/>
  <c r="R31" i="4"/>
  <c r="U31" i="4"/>
  <c r="P32" i="4"/>
  <c r="K32" i="4" s="1"/>
  <c r="I33" i="4"/>
  <c r="P33" i="4" l="1"/>
  <c r="Q33" i="4" s="1"/>
  <c r="J33" i="4"/>
  <c r="L32" i="4"/>
  <c r="Q32" i="4"/>
  <c r="B57" i="4"/>
  <c r="T56" i="4"/>
  <c r="N34" i="4"/>
  <c r="I34" i="4" s="1"/>
  <c r="K33" i="4" l="1"/>
  <c r="L33" i="4" s="1"/>
  <c r="B58" i="4"/>
  <c r="T57" i="4"/>
  <c r="U32" i="4"/>
  <c r="R32" i="4"/>
  <c r="N35" i="4"/>
  <c r="O34" i="4"/>
  <c r="P34" i="4" l="1"/>
  <c r="K34" i="4" s="1"/>
  <c r="J34" i="4"/>
  <c r="O35" i="4" s="1"/>
  <c r="R33" i="4"/>
  <c r="U33" i="4"/>
  <c r="B59" i="4"/>
  <c r="T58" i="4"/>
  <c r="I35" i="4"/>
  <c r="Q34" i="4" l="1"/>
  <c r="P35" i="4"/>
  <c r="K35" i="4" s="1"/>
  <c r="J35" i="4"/>
  <c r="L34" i="4"/>
  <c r="N36" i="4"/>
  <c r="I36" i="4" s="1"/>
  <c r="T59" i="4"/>
  <c r="B60" i="4"/>
  <c r="L35" i="4" l="1"/>
  <c r="R35" i="4" s="1"/>
  <c r="N37" i="4"/>
  <c r="O36" i="4"/>
  <c r="P36" i="4" s="1"/>
  <c r="U34" i="4"/>
  <c r="R34" i="4"/>
  <c r="B61" i="4"/>
  <c r="T60" i="4"/>
  <c r="Q35" i="4"/>
  <c r="U35" i="4" l="1"/>
  <c r="J36" i="4"/>
  <c r="O37" i="4" s="1"/>
  <c r="K36" i="4"/>
  <c r="Q36" i="4"/>
  <c r="B62" i="4"/>
  <c r="T61" i="4"/>
  <c r="I37" i="4"/>
  <c r="L36" i="4" l="1"/>
  <c r="U36" i="4" s="1"/>
  <c r="P37" i="4"/>
  <c r="K37" i="4" s="1"/>
  <c r="B63" i="4"/>
  <c r="T62" i="4"/>
  <c r="N38" i="4"/>
  <c r="J37" i="4"/>
  <c r="R36" i="4" l="1"/>
  <c r="Q37" i="4"/>
  <c r="L37" i="4"/>
  <c r="R37" i="4" s="1"/>
  <c r="O38" i="4"/>
  <c r="P38" i="4" s="1"/>
  <c r="K38" i="4" s="1"/>
  <c r="I38" i="4"/>
  <c r="B64" i="4"/>
  <c r="T63" i="4"/>
  <c r="U37" i="4" l="1"/>
  <c r="B65" i="4"/>
  <c r="T64" i="4"/>
  <c r="Q38" i="4"/>
  <c r="J38" i="4"/>
  <c r="N39" i="4"/>
  <c r="O39" i="4" l="1"/>
  <c r="B66" i="4"/>
  <c r="T65" i="4"/>
  <c r="I39" i="4"/>
  <c r="L38" i="4"/>
  <c r="N40" i="4" l="1"/>
  <c r="I40" i="4" s="1"/>
  <c r="B67" i="4"/>
  <c r="T66" i="4"/>
  <c r="J39" i="4"/>
  <c r="P39" i="4"/>
  <c r="K39" i="4" s="1"/>
  <c r="U38" i="4"/>
  <c r="R38" i="4"/>
  <c r="L39" i="4" l="1"/>
  <c r="R39" i="4" s="1"/>
  <c r="N41" i="4"/>
  <c r="I41" i="4" s="1"/>
  <c r="T67" i="4"/>
  <c r="B68" i="4"/>
  <c r="O40" i="4"/>
  <c r="J40" i="4" s="1"/>
  <c r="Q39" i="4"/>
  <c r="U39" i="4" l="1"/>
  <c r="N42" i="4"/>
  <c r="P40" i="4"/>
  <c r="K40" i="4" s="1"/>
  <c r="O41" i="4"/>
  <c r="J41" i="4" s="1"/>
  <c r="B69" i="4"/>
  <c r="T68" i="4"/>
  <c r="P41" i="4" l="1"/>
  <c r="Q41" i="4" s="1"/>
  <c r="B70" i="4"/>
  <c r="T69" i="4"/>
  <c r="Q40" i="4"/>
  <c r="L40" i="4"/>
  <c r="O42" i="4"/>
  <c r="J42" i="4" s="1"/>
  <c r="I42" i="4"/>
  <c r="K41" i="4" l="1"/>
  <c r="P42" i="4" s="1"/>
  <c r="K42" i="4" s="1"/>
  <c r="B71" i="4"/>
  <c r="T70" i="4"/>
  <c r="N43" i="4"/>
  <c r="U40" i="4"/>
  <c r="R40" i="4"/>
  <c r="L41" i="4" l="1"/>
  <c r="U41" i="4" s="1"/>
  <c r="L42" i="4"/>
  <c r="O43" i="4"/>
  <c r="J43" i="4" s="1"/>
  <c r="Q42" i="4"/>
  <c r="I43" i="4"/>
  <c r="B72" i="4"/>
  <c r="T71" i="4"/>
  <c r="R41" i="4" l="1"/>
  <c r="P43" i="4"/>
  <c r="K43" i="4" s="1"/>
  <c r="L43" i="4" s="1"/>
  <c r="N44" i="4"/>
  <c r="U42" i="4"/>
  <c r="R42" i="4"/>
  <c r="B73" i="4"/>
  <c r="T72" i="4"/>
  <c r="R43" i="4" l="1"/>
  <c r="U43" i="4"/>
  <c r="O44" i="4"/>
  <c r="J44" i="4" s="1"/>
  <c r="Q43" i="4"/>
  <c r="I44" i="4"/>
  <c r="B74" i="4"/>
  <c r="T73" i="4"/>
  <c r="N45" i="4" l="1"/>
  <c r="P44" i="4"/>
  <c r="K44" i="4" s="1"/>
  <c r="B75" i="4"/>
  <c r="T74" i="4"/>
  <c r="T75" i="4" l="1"/>
  <c r="B76" i="4"/>
  <c r="O45" i="4"/>
  <c r="J45" i="4" s="1"/>
  <c r="Q44" i="4"/>
  <c r="I45" i="4"/>
  <c r="L44" i="4"/>
  <c r="N46" i="4" l="1"/>
  <c r="U44" i="4"/>
  <c r="R44" i="4"/>
  <c r="P45" i="4"/>
  <c r="K45" i="4" s="1"/>
  <c r="B77" i="4"/>
  <c r="T76" i="4"/>
  <c r="Q45" i="4" l="1"/>
  <c r="O46" i="4"/>
  <c r="J46" i="4" s="1"/>
  <c r="I46" i="4"/>
  <c r="B78" i="4"/>
  <c r="T77" i="4"/>
  <c r="L45" i="4"/>
  <c r="N47" i="4" l="1"/>
  <c r="B79" i="4"/>
  <c r="T78" i="4"/>
  <c r="P46" i="4"/>
  <c r="K46" i="4" s="1"/>
  <c r="L46" i="4" s="1"/>
  <c r="U45" i="4"/>
  <c r="R45" i="4"/>
  <c r="U46" i="4" l="1"/>
  <c r="R46" i="4"/>
  <c r="B80" i="4"/>
  <c r="T79" i="4"/>
  <c r="Q46" i="4"/>
  <c r="O47" i="4"/>
  <c r="J47" i="4" s="1"/>
  <c r="I47" i="4"/>
  <c r="P47" i="4" l="1"/>
  <c r="K47" i="4" s="1"/>
  <c r="L47" i="4" s="1"/>
  <c r="B81" i="4"/>
  <c r="T80" i="4"/>
  <c r="N48" i="4"/>
  <c r="I48" i="4" s="1"/>
  <c r="N49" i="4" l="1"/>
  <c r="R47" i="4"/>
  <c r="U47" i="4"/>
  <c r="O48" i="4"/>
  <c r="J48" i="4" s="1"/>
  <c r="B82" i="4"/>
  <c r="T81" i="4"/>
  <c r="Q47" i="4"/>
  <c r="O49" i="4" l="1"/>
  <c r="J49" i="4" s="1"/>
  <c r="P48" i="4"/>
  <c r="K48" i="4" s="1"/>
  <c r="B83" i="4"/>
  <c r="T82" i="4"/>
  <c r="I49" i="4"/>
  <c r="N50" i="4" l="1"/>
  <c r="I50" i="4" s="1"/>
  <c r="Q48" i="4"/>
  <c r="T83" i="4"/>
  <c r="P49" i="4"/>
  <c r="K49" i="4" s="1"/>
  <c r="L48" i="4"/>
  <c r="L49" i="4" l="1"/>
  <c r="N51" i="4"/>
  <c r="I51" i="4" s="1"/>
  <c r="U48" i="4"/>
  <c r="R48" i="4"/>
  <c r="O50" i="4"/>
  <c r="J50" i="4" s="1"/>
  <c r="Q49" i="4"/>
  <c r="P50" i="4" l="1"/>
  <c r="K50" i="4" s="1"/>
  <c r="L50" i="4" s="1"/>
  <c r="N52" i="4"/>
  <c r="I52" i="4" s="1"/>
  <c r="O51" i="4"/>
  <c r="J51" i="4" s="1"/>
  <c r="R49" i="4"/>
  <c r="U49" i="4"/>
  <c r="Q50" i="4" l="1"/>
  <c r="P51" i="4"/>
  <c r="K51" i="4" s="1"/>
  <c r="L51" i="4" s="1"/>
  <c r="N53" i="4"/>
  <c r="I53" i="4" s="1"/>
  <c r="O52" i="4"/>
  <c r="J52" i="4" s="1"/>
  <c r="R50" i="4"/>
  <c r="U50" i="4"/>
  <c r="Q51" i="4" l="1"/>
  <c r="N54" i="4"/>
  <c r="I54" i="4" s="1"/>
  <c r="P52" i="4"/>
  <c r="K52" i="4" s="1"/>
  <c r="O53" i="4"/>
  <c r="J53" i="4" s="1"/>
  <c r="R51" i="4"/>
  <c r="U51" i="4"/>
  <c r="N55" i="4" l="1"/>
  <c r="I55" i="4" s="1"/>
  <c r="O54" i="4"/>
  <c r="J54" i="4" s="1"/>
  <c r="Q52" i="4"/>
  <c r="L52" i="4"/>
  <c r="P53" i="4"/>
  <c r="Q53" i="4" s="1"/>
  <c r="N56" i="4" l="1"/>
  <c r="I56" i="4" s="1"/>
  <c r="R52" i="4"/>
  <c r="U52" i="4"/>
  <c r="O55" i="4"/>
  <c r="J55" i="4" s="1"/>
  <c r="K53" i="4"/>
  <c r="N57" i="4" l="1"/>
  <c r="I57" i="4" s="1"/>
  <c r="L53" i="4"/>
  <c r="P54" i="4"/>
  <c r="Q54" i="4" s="1"/>
  <c r="O56" i="4"/>
  <c r="J56" i="4" s="1"/>
  <c r="N58" i="4" l="1"/>
  <c r="I58" i="4" s="1"/>
  <c r="K54" i="4"/>
  <c r="R53" i="4"/>
  <c r="U53" i="4"/>
  <c r="O57" i="4"/>
  <c r="J57" i="4" s="1"/>
  <c r="N59" i="4" l="1"/>
  <c r="I59" i="4" s="1"/>
  <c r="L54" i="4"/>
  <c r="P55" i="4"/>
  <c r="Q55" i="4" s="1"/>
  <c r="O58" i="4"/>
  <c r="J58" i="4" s="1"/>
  <c r="N60" i="4" l="1"/>
  <c r="I60" i="4" s="1"/>
  <c r="K55" i="4"/>
  <c r="R54" i="4"/>
  <c r="U54" i="4"/>
  <c r="O59" i="4"/>
  <c r="J59" i="4" s="1"/>
  <c r="N61" i="4" l="1"/>
  <c r="I61" i="4" s="1"/>
  <c r="L55" i="4"/>
  <c r="P56" i="4"/>
  <c r="Q56" i="4" s="1"/>
  <c r="O60" i="4"/>
  <c r="J60" i="4" s="1"/>
  <c r="N62" i="4" l="1"/>
  <c r="I62" i="4" s="1"/>
  <c r="R55" i="4"/>
  <c r="U55" i="4"/>
  <c r="K56" i="4"/>
  <c r="O61" i="4"/>
  <c r="J61" i="4" s="1"/>
  <c r="N63" i="4" l="1"/>
  <c r="I63" i="4" s="1"/>
  <c r="L56" i="4"/>
  <c r="P57" i="4"/>
  <c r="Q57" i="4" s="1"/>
  <c r="O62" i="4"/>
  <c r="J62" i="4" s="1"/>
  <c r="N64" i="4" l="1"/>
  <c r="I64" i="4" s="1"/>
  <c r="R56" i="4"/>
  <c r="U56" i="4"/>
  <c r="K57" i="4"/>
  <c r="O63" i="4"/>
  <c r="J63" i="4" s="1"/>
  <c r="N65" i="4" l="1"/>
  <c r="I65" i="4" s="1"/>
  <c r="L57" i="4"/>
  <c r="P58" i="4"/>
  <c r="Q58" i="4" s="1"/>
  <c r="O64" i="4"/>
  <c r="J64" i="4" s="1"/>
  <c r="N66" i="4" l="1"/>
  <c r="I66" i="4" s="1"/>
  <c r="R57" i="4"/>
  <c r="U57" i="4"/>
  <c r="K58" i="4"/>
  <c r="O65" i="4"/>
  <c r="J65" i="4" s="1"/>
  <c r="N67" i="4" l="1"/>
  <c r="I67" i="4" s="1"/>
  <c r="L58" i="4"/>
  <c r="P59" i="4"/>
  <c r="Q59" i="4" s="1"/>
  <c r="O66" i="4"/>
  <c r="J66" i="4" s="1"/>
  <c r="N68" i="4" l="1"/>
  <c r="I68" i="4" s="1"/>
  <c r="K59" i="4"/>
  <c r="R58" i="4"/>
  <c r="U58" i="4"/>
  <c r="O67" i="4"/>
  <c r="J67" i="4" s="1"/>
  <c r="N69" i="4" l="1"/>
  <c r="I69" i="4" s="1"/>
  <c r="L59" i="4"/>
  <c r="P60" i="4"/>
  <c r="Q60" i="4" s="1"/>
  <c r="O68" i="4"/>
  <c r="J68" i="4" s="1"/>
  <c r="N70" i="4" l="1"/>
  <c r="I70" i="4" s="1"/>
  <c r="R59" i="4"/>
  <c r="U59" i="4"/>
  <c r="K60" i="4"/>
  <c r="O69" i="4"/>
  <c r="J69" i="4" s="1"/>
  <c r="N71" i="4" l="1"/>
  <c r="I71" i="4" s="1"/>
  <c r="L60" i="4"/>
  <c r="P61" i="4"/>
  <c r="Q61" i="4" s="1"/>
  <c r="O70" i="4"/>
  <c r="J70" i="4" s="1"/>
  <c r="K61" i="4" l="1"/>
  <c r="P62" i="4" s="1"/>
  <c r="Q62" i="4" s="1"/>
  <c r="N72" i="4"/>
  <c r="I72" i="4" s="1"/>
  <c r="R60" i="4"/>
  <c r="U60" i="4"/>
  <c r="O71" i="4"/>
  <c r="J71" i="4" s="1"/>
  <c r="L61" i="4" l="1"/>
  <c r="R61" i="4" s="1"/>
  <c r="K62" i="4"/>
  <c r="L62" i="4" s="1"/>
  <c r="N73" i="4"/>
  <c r="I73" i="4" s="1"/>
  <c r="O72" i="4"/>
  <c r="J72" i="4" s="1"/>
  <c r="U61" i="4" l="1"/>
  <c r="P63" i="4"/>
  <c r="Q63" i="4" s="1"/>
  <c r="N74" i="4"/>
  <c r="I74" i="4" s="1"/>
  <c r="R62" i="4"/>
  <c r="U62" i="4"/>
  <c r="O73" i="4"/>
  <c r="J73" i="4" s="1"/>
  <c r="K63" i="4" l="1"/>
  <c r="L63" i="4" s="1"/>
  <c r="N75" i="4"/>
  <c r="I75" i="4" s="1"/>
  <c r="O74" i="4"/>
  <c r="J74" i="4" s="1"/>
  <c r="P64" i="4" l="1"/>
  <c r="Q64" i="4" s="1"/>
  <c r="N76" i="4"/>
  <c r="R63" i="4"/>
  <c r="U63" i="4"/>
  <c r="O75" i="4"/>
  <c r="J75" i="4" s="1"/>
  <c r="K64" i="4" l="1"/>
  <c r="L64" i="4" s="1"/>
  <c r="R64" i="4" s="1"/>
  <c r="O76" i="4"/>
  <c r="J76" i="4" s="1"/>
  <c r="I76" i="4"/>
  <c r="U64" i="4" l="1"/>
  <c r="P65" i="4"/>
  <c r="Q65" i="4" s="1"/>
  <c r="N77" i="4"/>
  <c r="I77" i="4" s="1"/>
  <c r="K65" i="4" l="1"/>
  <c r="L65" i="4" s="1"/>
  <c r="R65" i="4" s="1"/>
  <c r="N78" i="4"/>
  <c r="I78" i="4" s="1"/>
  <c r="O77" i="4"/>
  <c r="J77" i="4" s="1"/>
  <c r="U65" i="4" l="1"/>
  <c r="P66" i="4"/>
  <c r="Q66" i="4" s="1"/>
  <c r="N79" i="4"/>
  <c r="I79" i="4" s="1"/>
  <c r="O78" i="4"/>
  <c r="K66" i="4" l="1"/>
  <c r="L66" i="4" s="1"/>
  <c r="R66" i="4" s="1"/>
  <c r="N80" i="4"/>
  <c r="I80" i="4" s="1"/>
  <c r="J78" i="4"/>
  <c r="O79" i="4" s="1"/>
  <c r="U66" i="4" l="1"/>
  <c r="P67" i="4"/>
  <c r="Q67" i="4" s="1"/>
  <c r="N81" i="4"/>
  <c r="I81" i="4" s="1"/>
  <c r="J79" i="4"/>
  <c r="K67" i="4" l="1"/>
  <c r="N82" i="4"/>
  <c r="I82" i="4" s="1"/>
  <c r="O80" i="4"/>
  <c r="J80" i="4" s="1"/>
  <c r="L67" i="4" l="1"/>
  <c r="P68" i="4"/>
  <c r="N83" i="4"/>
  <c r="I83" i="4" s="1"/>
  <c r="O81" i="4"/>
  <c r="J81" i="4" s="1"/>
  <c r="Q68" i="4" l="1"/>
  <c r="K68" i="4"/>
  <c r="R67" i="4"/>
  <c r="U67" i="4"/>
  <c r="O82" i="4"/>
  <c r="L68" i="4" l="1"/>
  <c r="P69" i="4"/>
  <c r="J82" i="4"/>
  <c r="Q69" i="4" l="1"/>
  <c r="K69" i="4"/>
  <c r="U68" i="4"/>
  <c r="R68" i="4"/>
  <c r="O83" i="4"/>
  <c r="L69" i="4" l="1"/>
  <c r="P70" i="4"/>
  <c r="J83" i="4"/>
  <c r="Q70" i="4" l="1"/>
  <c r="K70" i="4"/>
  <c r="R69" i="4"/>
  <c r="U69" i="4"/>
  <c r="L70" i="4" l="1"/>
  <c r="P71" i="4"/>
  <c r="Q71" i="4" s="1"/>
  <c r="R70" i="4" l="1"/>
  <c r="U70" i="4"/>
  <c r="K71" i="4"/>
  <c r="L71" i="4" l="1"/>
  <c r="P72" i="4"/>
  <c r="Q72" i="4" s="1"/>
  <c r="K72" i="4" l="1"/>
  <c r="R71" i="4"/>
  <c r="U71" i="4"/>
  <c r="L72" i="4" l="1"/>
  <c r="P73" i="4"/>
  <c r="Q73" i="4" l="1"/>
  <c r="K73" i="4"/>
  <c r="R72" i="4"/>
  <c r="U72" i="4"/>
  <c r="L73" i="4" l="1"/>
  <c r="P74" i="4"/>
  <c r="Q74" i="4" s="1"/>
  <c r="R73" i="4" l="1"/>
  <c r="U73" i="4"/>
  <c r="K74" i="4"/>
  <c r="P75" i="4" l="1"/>
  <c r="Q75" i="4" s="1"/>
  <c r="L74" i="4"/>
  <c r="K75" i="4" l="1"/>
  <c r="U74" i="4"/>
  <c r="R74" i="4"/>
  <c r="L75" i="4" l="1"/>
  <c r="P76" i="4"/>
  <c r="Q76" i="4" l="1"/>
  <c r="K76" i="4"/>
  <c r="U75" i="4"/>
  <c r="R75" i="4"/>
  <c r="L76" i="4" l="1"/>
  <c r="P77" i="4"/>
  <c r="Q77" i="4" l="1"/>
  <c r="K77" i="4"/>
  <c r="U76" i="4"/>
  <c r="R76" i="4"/>
  <c r="L77" i="4" l="1"/>
  <c r="P78" i="4"/>
  <c r="Q78" i="4" l="1"/>
  <c r="K78" i="4"/>
  <c r="U77" i="4"/>
  <c r="R77" i="4"/>
  <c r="P79" i="4" l="1"/>
  <c r="L78" i="4"/>
  <c r="R78" i="4" l="1"/>
  <c r="U78" i="4"/>
  <c r="Q79" i="4"/>
  <c r="K79" i="4"/>
  <c r="L79" i="4" l="1"/>
  <c r="P80" i="4"/>
  <c r="Q80" i="4" s="1"/>
  <c r="R79" i="4" l="1"/>
  <c r="U79" i="4"/>
  <c r="K80" i="4"/>
  <c r="L80" i="4" l="1"/>
  <c r="P81" i="4"/>
  <c r="Q81" i="4" s="1"/>
  <c r="K81" i="4" l="1"/>
  <c r="P82" i="4" s="1"/>
  <c r="Q82" i="4" s="1"/>
  <c r="R80" i="4"/>
  <c r="U80" i="4"/>
  <c r="K82" i="4" l="1"/>
  <c r="L82" i="4" s="1"/>
  <c r="L81" i="4"/>
  <c r="P83" i="4" l="1"/>
  <c r="Q83" i="4" s="1"/>
  <c r="R81" i="4"/>
  <c r="U81" i="4"/>
  <c r="R82" i="4"/>
  <c r="U82" i="4"/>
  <c r="K83" i="4" l="1"/>
  <c r="L83" i="4" s="1"/>
  <c r="R83" i="4" s="1"/>
  <c r="U83" i="4" l="1"/>
  <c r="B6" i="10"/>
  <c r="F6" i="10" s="1"/>
  <c r="M6" i="3"/>
  <c r="A6" i="3"/>
  <c r="B4" i="10"/>
  <c r="F4" i="10" s="1"/>
  <c r="B5" i="10"/>
  <c r="F5" i="10" s="1"/>
  <c r="B2" i="11" l="1"/>
  <c r="B3" i="11"/>
</calcChain>
</file>

<file path=xl/sharedStrings.xml><?xml version="1.0" encoding="utf-8"?>
<sst xmlns="http://schemas.openxmlformats.org/spreadsheetml/2006/main" count="273" uniqueCount="207">
  <si>
    <t>NJL Design Labs · FI Architect Premium</t>
  </si>
  <si>
    <t>Premium financial independence command center</t>
  </si>
  <si>
    <t>⏱  Time to FI</t>
  </si>
  <si>
    <t>💰  Savings Rate</t>
  </si>
  <si>
    <t>📊  FI Coverage</t>
  </si>
  <si>
    <t>🌊  Coast FI Age</t>
  </si>
  <si>
    <t>years until first FI milestone</t>
  </si>
  <si>
    <t>current annual surplus / gross income</t>
  </si>
  <si>
    <t>invested assets compared with target</t>
  </si>
  <si>
    <t>age where compounding can carry plan</t>
  </si>
  <si>
    <t>📖 How to Use This Spreadsheet</t>
  </si>
  <si>
    <t>🚀 QUICK START GUIDE</t>
  </si>
  <si>
    <t>1. Begin by filling out the Settings tab with your personal information</t>
  </si>
  <si>
    <t>2. Configure your income sources in the Income tab</t>
  </si>
  <si>
    <t>3. Set up your budget (either detailed or simple expenses)</t>
  </si>
  <si>
    <t>4. Configure your assets and liabilities</t>
  </si>
  <si>
    <t>5. Review your projections in the Projection tab</t>
  </si>
  <si>
    <t>6. Use Scenario Compare to test different financial decisions</t>
  </si>
  <si>
    <t>📊 TAB-BY-TAB WALKTHROUGH</t>
  </si>
  <si>
    <t>Settings: Configure your age, retirement goals, economic assumptions, and advanced options</t>
  </si>
  <si>
    <t>Income: Add all sources of income including salary, business income, rental income, etc.</t>
  </si>
  <si>
    <t>Budget: Either use the detailed budget categories or enter simple expense totals</t>
  </si>
  <si>
    <t>Assets: Configure your investment accounts, property values, and other assets</t>
  </si>
  <si>
    <t>Liabilities: Enter all debts including mortgages, loans, and credit card balances</t>
  </si>
  <si>
    <t>Projection: View year-by-year forecasts of your net worth, FI progress, and key milestones</t>
  </si>
  <si>
    <t>Scenario Compare: Test different scenarios like retiring earlier/later, changing savings rates, etc.</t>
  </si>
  <si>
    <t>How to Use: This guide - refer back anytime for reminders</t>
  </si>
  <si>
    <t>🔑 KEY FEATURES</t>
  </si>
  <si>
    <t>• Dynamic year-by-year projections from current age to life expectancy</t>
  </si>
  <si>
    <t>• Multiple income sources with customizable growth rates</t>
  </si>
  <si>
    <t>• Detailed budgeting by category or simple expense tracking</t>
  </si>
  <si>
    <t>• Comprehensive asset tracking (equities, cash, real estate, etc.)</t>
  </si>
  <si>
    <t>• Liability management with amortization schedules</t>
  </si>
  <si>
    <t>• FI Number calculation based on your Safe Withdrawal Rate</t>
  </si>
  <si>
    <t>• Coast FI calculation showing when investments can grow to FI number</t>
  </si>
  <si>
    <t>• Scenario comparison tool for testing financial decisions</t>
  </si>
  <si>
    <t>• Conditional formatting highlights key milestones (FI reached, deficits, etc.)</t>
  </si>
  <si>
    <t>• Blue input cells clearly show where to enter your data</t>
  </si>
  <si>
    <t>⚙️ CUSTOMIZATION TIPS</t>
  </si>
  <si>
    <t>• Adjust inflation rate to match your economic outlook</t>
  </si>
  <si>
    <t>• Modify Safe Withdrawal Rate based on your risk tolerance (3-5% typical)</t>
  </si>
  <si>
    <t>• Use different growth rates for different asset classes</t>
  </si>
  <si>
    <t>• Set contribution end years for assets with limited contribution periods</t>
  </si>
  <si>
    <t>• Test Monte Carlo simulations for probabilistic outcomes (iOS &amp; Web App Only)</t>
  </si>
  <si>
    <t>• Link multiple spreadsheets to compare family members or business vs personal</t>
  </si>
  <si>
    <t>📚 KEY DEFINITIONS</t>
  </si>
  <si>
    <t>FI Number</t>
  </si>
  <si>
    <t>Portfolio size needed to cover expenses using your Safe Withdrawal Rate</t>
  </si>
  <si>
    <t>Coast FI</t>
  </si>
  <si>
    <t>Point where current investments grow to FI Number without additional contributions</t>
  </si>
  <si>
    <t>Percentage of portfolio you can withdraw annually in retirement</t>
  </si>
  <si>
    <t>Net Worth</t>
  </si>
  <si>
    <t>Total assets minus total liabilities</t>
  </si>
  <si>
    <t>Drawdown Capacity</t>
  </si>
  <si>
    <t>Annual amount you can withdraw from portfolio in retirement</t>
  </si>
  <si>
    <t>Surplus/Deficit</t>
  </si>
  <si>
    <t>Net Income minus Expenses and One-Time Events</t>
  </si>
  <si>
    <t>Taxable/Pre-Tax/Roth</t>
  </si>
  <si>
    <t>Different account types with different tax treatments</t>
  </si>
  <si>
    <t>❓ FREQUENTLY ASKED QUESTIONS</t>
  </si>
  <si>
    <t>Q: What is Financial Independence (FI)?
A: FI is when your investment income covers your living expenses, allowing you to retire if desired.</t>
  </si>
  <si>
    <t>Q: What is the 4% Rule and Safe Withdrawal Rate?
A: The 4% Rule suggests you can withdraw 4% of your portfolio annually in retirement with low risk of running out of money. Your SWR may vary based on market conditions and asset allocation.</t>
  </si>
  <si>
    <t>Q: What is Coast FI?
A: Coast FI is the point where your current investments will grow to your FI Number through compound growth alone, without additional contributions.</t>
  </si>
  <si>
    <t>Q: How should I treat my primary residence?
A: In this spreadsheet, you can model your primary residence as an asset in the Assets tab (real estate type) or include housing costs in your budget. Some people exclude primary residence from FI calculations as it provides shelter rather than income.</t>
  </si>
  <si>
    <t>Q: Can I use this for early retirement planning?
A: Absolutely! Many users target FI in their 40s or 50s. Adjust your retirement age in the Settings tab to see how different timelines affect your required savings rate.</t>
  </si>
  <si>
    <t>Q: What if I have variable income?
A: Enter your average annual income, or create multiple income entries for different sources. You can also use the Scenario Compare tab to model high/low income years.</t>
  </si>
  <si>
    <t>⚙️ FI Architect Settings</t>
  </si>
  <si>
    <t>Current Age</t>
  </si>
  <si>
    <t>years</t>
  </si>
  <si>
    <t>Death Age</t>
  </si>
  <si>
    <t>Retirement Age</t>
  </si>
  <si>
    <t>Target Retire Age</t>
  </si>
  <si>
    <t>Filing Status</t>
  </si>
  <si>
    <t>married</t>
  </si>
  <si>
    <t>single/married</t>
  </si>
  <si>
    <t>Effective Income Tax Rate (%)</t>
  </si>
  <si>
    <t>percent</t>
  </si>
  <si>
    <t>State Tax Rate (%)</t>
  </si>
  <si>
    <t>Inflation Rate (%)</t>
  </si>
  <si>
    <t>annual</t>
  </si>
  <si>
    <t>Safe Withdrawal Rate (%)</t>
  </si>
  <si>
    <t>SWR</t>
  </si>
  <si>
    <t>Expected Market Return (%)</t>
  </si>
  <si>
    <t>📈 Financial Projections</t>
  </si>
  <si>
    <t>Year</t>
  </si>
  <si>
    <t>Age</t>
  </si>
  <si>
    <t>Gross Income ($)</t>
  </si>
  <si>
    <t>Taxes ($)</t>
  </si>
  <si>
    <t>Net Income ($)</t>
  </si>
  <si>
    <t>Annual Expenses ($)</t>
  </si>
  <si>
    <t>One-Off Events ($)</t>
  </si>
  <si>
    <t>Surplus/Deficit ($)</t>
  </si>
  <si>
    <t>Taxable Balance ($)</t>
  </si>
  <si>
    <t>Pre-Tax Balance ($)</t>
  </si>
  <si>
    <t>Tax-Free Balance ($)</t>
  </si>
  <si>
    <t>Total Invested Assets ($)</t>
  </si>
  <si>
    <t>Portfolio Shortfall ($)</t>
  </si>
  <si>
    <t>Taxable Withdrawal ($)</t>
  </si>
  <si>
    <t>Pre-Tax Withdrawal ($)</t>
  </si>
  <si>
    <t>Tax-Free Withdrawal ($)</t>
  </si>
  <si>
    <t>Unfunded Gap ($)</t>
  </si>
  <si>
    <t>Net Worth ($)</t>
  </si>
  <si>
    <t>FI Number ($)</t>
  </si>
  <si>
    <t>Coast FI ($)</t>
  </si>
  <si>
    <t>Milestones</t>
  </si>
  <si>
    <t>Savings Rate (%)</t>
  </si>
  <si>
    <t>💼 Assets &amp; Investments</t>
  </si>
  <si>
    <t>ID</t>
  </si>
  <si>
    <t>Name</t>
  </si>
  <si>
    <t>Current Value ($)</t>
  </si>
  <si>
    <t>Growth Rate (%)</t>
  </si>
  <si>
    <t>Annual Contribution ($)</t>
  </si>
  <si>
    <t>Surplus Allocation (%)</t>
  </si>
  <si>
    <t>Tax Type</t>
  </si>
  <si>
    <t>Asset Type</t>
  </si>
  <si>
    <t>Penalty-Free Age</t>
  </si>
  <si>
    <t>Brokerage</t>
  </si>
  <si>
    <t>Taxable</t>
  </si>
  <si>
    <t>Equity</t>
  </si>
  <si>
    <t>401k</t>
  </si>
  <si>
    <t>Pre-Tax</t>
  </si>
  <si>
    <t>Roth IRA</t>
  </si>
  <si>
    <t>Tax-Free</t>
  </si>
  <si>
    <t>Cash</t>
  </si>
  <si>
    <t>💰 Income Sources</t>
  </si>
  <si>
    <t>Annual Amount ($)</t>
  </si>
  <si>
    <t>Start Year</t>
  </si>
  <si>
    <t>End Year</t>
  </si>
  <si>
    <t>Passive</t>
  </si>
  <si>
    <t>Primary Salary</t>
  </si>
  <si>
    <t>TRUE</t>
  </si>
  <si>
    <t>📊 Detailed Budget</t>
  </si>
  <si>
    <t>Category</t>
  </si>
  <si>
    <t>Item Name</t>
  </si>
  <si>
    <t>Monthly Value ($)</t>
  </si>
  <si>
    <t>Inflation Adjusted</t>
  </si>
  <si>
    <t>Housing</t>
  </si>
  <si>
    <t>Property Tax</t>
  </si>
  <si>
    <t>Home Insurance</t>
  </si>
  <si>
    <t>HOA / Maintenance</t>
  </si>
  <si>
    <t>Utilities</t>
  </si>
  <si>
    <t>Electricity/Gas</t>
  </si>
  <si>
    <t>Water/Trash</t>
  </si>
  <si>
    <t>Internet &amp; Cable</t>
  </si>
  <si>
    <t>Mobile Phone</t>
  </si>
  <si>
    <t>Food</t>
  </si>
  <si>
    <t>Groceries</t>
  </si>
  <si>
    <t>Dining Out</t>
  </si>
  <si>
    <t>Transportation</t>
  </si>
  <si>
    <t>Gas/Fuel</t>
  </si>
  <si>
    <t>Car Insurance</t>
  </si>
  <si>
    <t>Maintenance/Repairs</t>
  </si>
  <si>
    <t>Health</t>
  </si>
  <si>
    <t>Health Insurance</t>
  </si>
  <si>
    <t>Pharmacy/Co-pays</t>
  </si>
  <si>
    <t>Lifestyle</t>
  </si>
  <si>
    <t>Travel &amp; Vacation</t>
  </si>
  <si>
    <t>Entertainment</t>
  </si>
  <si>
    <t>Personal Care</t>
  </si>
  <si>
    <t>Shopping/Clothing</t>
  </si>
  <si>
    <t>Mortgage Payment</t>
  </si>
  <si>
    <t>💰 Simple Budget</t>
  </si>
  <si>
    <t>Use Simple Budget?</t>
  </si>
  <si>
    <t>No</t>
  </si>
  <si>
    <t>Select 'Yes' to skip line-by-line monthly tracking and project your retirement using a single annual expense estimate.</t>
  </si>
  <si>
    <t>Description</t>
  </si>
  <si>
    <t>Living Expenses</t>
  </si>
  <si>
    <t>🏦 Liabilities &amp; Debts</t>
  </si>
  <si>
    <t>Type</t>
  </si>
  <si>
    <t>Current Balance ($)</t>
  </si>
  <si>
    <t>Interest Rate (%)</t>
  </si>
  <si>
    <t>Monthly Payment ($)</t>
  </si>
  <si>
    <t>Term (Years)</t>
  </si>
  <si>
    <t>Home</t>
  </si>
  <si>
    <t>Mortgage</t>
  </si>
  <si>
    <t>🔄 Scenario Compare — Live vs. Saved</t>
  </si>
  <si>
    <t>Metric</t>
  </si>
  <si>
    <t>Live Plan</t>
  </si>
  <si>
    <t>Scenario A</t>
  </si>
  <si>
    <t>Scenario B</t>
  </si>
  <si>
    <t>Scenario C</t>
  </si>
  <si>
    <t>Δ vs Live</t>
  </si>
  <si>
    <t>FI Target ($)</t>
  </si>
  <si>
    <t>FI Age</t>
  </si>
  <si>
    <t>Years to FI</t>
  </si>
  <si>
    <t>Coast FI Age</t>
  </si>
  <si>
    <t>Starting Net Worth ($)</t>
  </si>
  <si>
    <t>Total Invested ($)</t>
  </si>
  <si>
    <t>Current Savings Rate</t>
  </si>
  <si>
    <t>Value</t>
  </si>
  <si>
    <t>Display Value</t>
  </si>
  <si>
    <t>Current Assets</t>
  </si>
  <si>
    <t>Remaining Gap</t>
  </si>
  <si>
    <t>Safe Withdrawal Rate</t>
  </si>
  <si>
    <t>Home Equity</t>
  </si>
  <si>
    <t>Real Estate</t>
  </si>
  <si>
    <t>Netflix</t>
  </si>
  <si>
    <t>Apple TV</t>
  </si>
  <si>
    <t>Childcare</t>
  </si>
  <si>
    <t>Daycare</t>
  </si>
  <si>
    <t>Education</t>
  </si>
  <si>
    <t>College Fund</t>
  </si>
  <si>
    <t>Dining Out - Retired</t>
  </si>
  <si>
    <t>Second Salary</t>
  </si>
  <si>
    <t>Health Insurance - Retired</t>
  </si>
  <si>
    <t>• Use Guyton-Klinger withdrawal strategy for dynamic spending in retirement (iOS &amp; Web App Only)</t>
  </si>
  <si>
    <t>• Enable glide path for automatic asset allocation adjustment as you age (iOS &amp; Web App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</si>
</sst>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_(&quot;$&quot;* #,##0_);_(&quot;$&quot;* \(#,##0\);_(&quot;$&quot;* &quot;-&quot;??_);_(@_)"/>
    <numFmt numFmtId="171" formatCode="0.0"/>
  </numFmts>
  <fonts count="21" x14ac:knownFonts="1">
    <font>
      <sz val="11"/>
      <color theme="1"/>
      <name val="Calibri"/>
      <family val="2"/>
      <scheme val="minor"/>
    </font>
    <font>
      <b/>
      <sz val="10"/>
      <color rgb="FFC9E5FF"/>
      <name val="Calibri"/>
      <family val="2"/>
      <scheme val="minor"/>
    </font>
    <font>
      <b/>
      <sz val="28"/>
      <color rgb="FFFFFFFF"/>
      <name val="Calibri"/>
      <family val="2"/>
      <scheme val="minor"/>
    </font>
    <font>
      <b/>
      <sz val="11"/>
      <color theme="1"/>
      <name val="Calibri"/>
      <family val="2"/>
      <scheme val="minor"/>
    </font>
    <font>
      <i/>
      <sz val="11"/>
      <color rgb="FF7F8C8D"/>
      <name val="Calibri"/>
      <family val="2"/>
      <scheme val="minor"/>
    </font>
    <font>
      <i/>
      <sz val="11"/>
      <color rgb="FF7D6608"/>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3"/>
      <color theme="0"/>
      <name val="Calibri"/>
      <family val="2"/>
      <scheme val="minor"/>
    </font>
    <font>
      <b/>
      <sz val="14"/>
      <color theme="0"/>
      <name val="Calibri"/>
      <family val="2"/>
      <scheme val="minor"/>
    </font>
    <font>
      <b/>
      <sz val="36"/>
      <color rgb="FFFFFFFF"/>
      <name val="Calibri"/>
      <family val="2"/>
      <scheme val="minor"/>
    </font>
    <font>
      <b/>
      <i/>
      <sz val="14"/>
      <color theme="0"/>
      <name val="Calibri"/>
      <family val="2"/>
      <scheme val="minor"/>
    </font>
    <font>
      <b/>
      <i/>
      <sz val="10"/>
      <color rgb="FF7FB3C8"/>
      <name val="Calibri"/>
      <family val="2"/>
      <scheme val="minor"/>
    </font>
    <font>
      <b/>
      <sz val="11"/>
      <color rgb="FFFFFFFF"/>
      <name val="Calibri"/>
      <family val="2"/>
      <scheme val="minor"/>
    </font>
    <font>
      <b/>
      <sz val="11"/>
      <color rgb="FFFFFFFF"/>
      <name val="Calibri"/>
      <family val="2"/>
    </font>
    <font>
      <b/>
      <sz val="11"/>
      <name val="Calibri"/>
      <family val="2"/>
    </font>
    <font>
      <sz val="11"/>
      <name val="Calibri"/>
      <family val="2"/>
    </font>
    <font>
      <b/>
      <i/>
      <sz val="11"/>
      <color theme="1" tint="0.499984740745262"/>
      <name val="Calibri"/>
      <family val="2"/>
      <scheme val="minor"/>
    </font>
    <font>
      <b/>
      <sz val="14"/>
      <color rgb="FFFFFFFF"/>
      <name val="Calibri"/>
      <family val="2"/>
    </font>
    <font>
      <sz val="14"/>
      <color theme="1"/>
      <name val="Calibri"/>
      <family val="2"/>
      <scheme val="minor"/>
    </font>
  </fonts>
  <fills count="15">
    <fill>
      <patternFill patternType="none"/>
    </fill>
    <fill>
      <patternFill patternType="gray125"/>
    </fill>
    <fill>
      <patternFill patternType="solid">
        <fgColor rgb="FF0D1B2A"/>
        <bgColor indexed="64"/>
      </patternFill>
    </fill>
    <fill>
      <patternFill patternType="solid">
        <fgColor rgb="FF10253D"/>
        <bgColor indexed="64"/>
      </patternFill>
    </fill>
    <fill>
      <patternFill patternType="solid">
        <fgColor rgb="FF0D3B3B"/>
        <bgColor indexed="64"/>
      </patternFill>
    </fill>
    <fill>
      <patternFill patternType="solid">
        <fgColor rgb="FF172B4D"/>
        <bgColor indexed="64"/>
      </patternFill>
    </fill>
    <fill>
      <patternFill patternType="solid">
        <fgColor rgb="FF173826"/>
        <bgColor indexed="64"/>
      </patternFill>
    </fill>
    <fill>
      <patternFill patternType="solid">
        <fgColor rgb="FF1B2A4A"/>
        <bgColor indexed="64"/>
      </patternFill>
    </fill>
    <fill>
      <patternFill patternType="solid">
        <fgColor rgb="FF2C3E50"/>
        <bgColor indexed="64"/>
      </patternFill>
    </fill>
    <fill>
      <patternFill patternType="solid">
        <fgColor rgb="FFD6EAF8"/>
        <bgColor indexed="64"/>
      </patternFill>
    </fill>
    <fill>
      <patternFill patternType="solid">
        <fgColor rgb="FFEBF5FB"/>
        <bgColor indexed="64"/>
      </patternFill>
    </fill>
    <fill>
      <patternFill patternType="solid">
        <fgColor rgb="FFFEF9E7"/>
        <bgColor indexed="64"/>
      </patternFill>
    </fill>
    <fill>
      <patternFill patternType="solid">
        <fgColor theme="9"/>
        <bgColor indexed="64"/>
      </patternFill>
    </fill>
    <fill>
      <patternFill patternType="solid">
        <fgColor rgb="FF1B2A4A"/>
        <bgColor rgb="FF1B2A4A"/>
      </patternFill>
    </fill>
    <fill>
      <patternFill patternType="solid">
        <fgColor rgb="FF2E8B8B"/>
        <bgColor rgb="FF2E8B8B"/>
      </patternFill>
    </fill>
  </fills>
  <borders count="6">
    <border>
      <left/>
      <right/>
      <top/>
      <bottom/>
      <diagonal/>
    </border>
    <border>
      <left/>
      <right/>
      <top style="thin">
        <color rgb="FF314B68"/>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s>
  <cellStyleXfs count="3">
    <xf numFmtId="0" fontId="0" fillId="0" borderId="0"/>
    <xf numFmtId="44" fontId="6" fillId="0" borderId="0"/>
    <xf numFmtId="9" fontId="6" fillId="0" borderId="0" applyFont="0" applyFill="0" applyBorder="0" applyAlignment="0" applyProtection="0"/>
  </cellStyleXfs>
  <cellXfs count="59">
    <xf numFmtId="0" fontId="0" fillId="0" borderId="0" xfId="0"/>
    <xf numFmtId="164" fontId="0" fillId="0" borderId="0" xfId="0" applyNumberFormat="1"/>
    <xf numFmtId="0" fontId="3" fillId="0" borderId="0" xfId="0" applyFont="1" applyAlignment="1">
      <alignment horizontal="left"/>
    </xf>
    <xf numFmtId="0" fontId="0" fillId="9" borderId="2" xfId="0" applyFill="1" applyBorder="1" applyAlignment="1">
      <alignment horizontal="center"/>
    </xf>
    <xf numFmtId="0" fontId="4" fillId="0" borderId="0" xfId="0" applyFont="1"/>
    <xf numFmtId="0" fontId="3" fillId="0" borderId="0" xfId="0" applyFont="1"/>
    <xf numFmtId="0" fontId="0" fillId="0" borderId="2" xfId="0" applyBorder="1"/>
    <xf numFmtId="0" fontId="5" fillId="11" borderId="2" xfId="0" applyFont="1" applyFill="1" applyBorder="1" applyAlignment="1">
      <alignment horizontal="center"/>
    </xf>
    <xf numFmtId="0" fontId="0" fillId="10" borderId="2" xfId="0" applyFill="1" applyBorder="1" applyAlignment="1">
      <alignment horizontal="center"/>
    </xf>
    <xf numFmtId="164" fontId="0" fillId="10" borderId="2" xfId="0" applyNumberFormat="1" applyFill="1" applyBorder="1" applyAlignment="1">
      <alignment horizontal="center"/>
    </xf>
    <xf numFmtId="0" fontId="3" fillId="0" borderId="2" xfId="0" applyFont="1" applyBorder="1" applyAlignment="1">
      <alignment horizontal="center" vertical="top"/>
    </xf>
    <xf numFmtId="0" fontId="7" fillId="8" borderId="2" xfId="0" applyFont="1" applyFill="1" applyBorder="1" applyAlignment="1">
      <alignment horizontal="center" vertical="center"/>
    </xf>
    <xf numFmtId="0" fontId="8" fillId="0" borderId="0" xfId="0" applyFont="1"/>
    <xf numFmtId="165" fontId="0" fillId="10" borderId="2" xfId="1" applyNumberFormat="1" applyFont="1" applyFill="1" applyBorder="1" applyAlignment="1">
      <alignment horizontal="center"/>
    </xf>
    <xf numFmtId="165" fontId="5" fillId="11" borderId="2" xfId="1" applyNumberFormat="1" applyFont="1" applyFill="1" applyBorder="1" applyAlignment="1">
      <alignment horizontal="center"/>
    </xf>
    <xf numFmtId="165" fontId="0" fillId="0" borderId="0" xfId="1" applyNumberFormat="1" applyFont="1"/>
    <xf numFmtId="165" fontId="7" fillId="8" borderId="2" xfId="1" applyNumberFormat="1" applyFont="1" applyFill="1" applyBorder="1" applyAlignment="1">
      <alignment horizontal="center" vertical="center"/>
    </xf>
    <xf numFmtId="0" fontId="14" fillId="7" borderId="2" xfId="0" applyFont="1" applyFill="1" applyBorder="1" applyAlignment="1">
      <alignment horizontal="center" vertical="center"/>
    </xf>
    <xf numFmtId="0" fontId="0" fillId="0" borderId="0" xfId="0" applyAlignment="1">
      <alignment horizontal="left" vertical="top" wrapText="1"/>
    </xf>
    <xf numFmtId="0" fontId="0" fillId="0" borderId="0" xfId="0" applyAlignment="1">
      <alignment wrapText="1"/>
    </xf>
    <xf numFmtId="0" fontId="16" fillId="0" borderId="0" xfId="0" applyFont="1"/>
    <xf numFmtId="0" fontId="17" fillId="0" borderId="0" xfId="0" applyFont="1"/>
    <xf numFmtId="9" fontId="0" fillId="0" borderId="0" xfId="2" applyFont="1"/>
    <xf numFmtId="165" fontId="0" fillId="9" borderId="0" xfId="1" applyNumberFormat="1" applyFont="1" applyFill="1"/>
    <xf numFmtId="0" fontId="0" fillId="0" borderId="0" xfId="0" applyAlignment="1">
      <alignment horizontal="left" vertical="top" wrapText="1"/>
    </xf>
    <xf numFmtId="0" fontId="0" fillId="0" borderId="0" xfId="0"/>
    <xf numFmtId="0" fontId="15" fillId="14" borderId="0" xfId="0" applyFont="1" applyFill="1" applyAlignment="1">
      <alignment horizontal="center" vertical="center"/>
    </xf>
    <xf numFmtId="0" fontId="10" fillId="7" borderId="0" xfId="0" applyFont="1" applyFill="1" applyAlignment="1">
      <alignment horizontal="center" vertical="center"/>
    </xf>
    <xf numFmtId="0" fontId="11" fillId="2" borderId="0" xfId="0" applyFont="1" applyFill="1" applyAlignment="1">
      <alignment horizontal="center" vertical="center"/>
    </xf>
    <xf numFmtId="164" fontId="2" fillId="4" borderId="0" xfId="0" applyNumberFormat="1" applyFont="1" applyFill="1" applyAlignment="1">
      <alignment horizontal="center" vertical="center"/>
    </xf>
    <xf numFmtId="0" fontId="12" fillId="2" borderId="0" xfId="0" applyFont="1" applyFill="1" applyAlignment="1">
      <alignment horizontal="center" vertical="center"/>
    </xf>
    <xf numFmtId="164" fontId="2" fillId="5" borderId="0" xfId="0" applyNumberFormat="1" applyFont="1" applyFill="1" applyAlignment="1">
      <alignment horizontal="center" vertical="center"/>
    </xf>
    <xf numFmtId="1" fontId="2" fillId="6" borderId="0" xfId="0" applyNumberFormat="1" applyFont="1" applyFill="1" applyAlignment="1">
      <alignment horizontal="center" vertical="center"/>
    </xf>
    <xf numFmtId="1" fontId="2" fillId="3" borderId="0" xfId="0" applyNumberFormat="1" applyFont="1" applyFill="1" applyAlignment="1">
      <alignment horizontal="center" vertical="center"/>
    </xf>
    <xf numFmtId="0" fontId="1" fillId="4" borderId="1" xfId="0" applyFont="1" applyFill="1" applyBorder="1" applyAlignment="1">
      <alignment horizontal="center" vertical="center"/>
    </xf>
    <xf numFmtId="0" fontId="0" fillId="0" borderId="1" xfId="0" applyBorder="1"/>
    <xf numFmtId="0" fontId="1" fillId="6"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5" borderId="1" xfId="0" applyFont="1" applyFill="1" applyBorder="1" applyAlignment="1">
      <alignment horizontal="center" vertical="center"/>
    </xf>
    <xf numFmtId="0" fontId="0" fillId="3" borderId="0" xfId="0" applyFill="1"/>
    <xf numFmtId="0" fontId="13" fillId="3" borderId="0" xfId="0" applyFont="1" applyFill="1" applyAlignment="1">
      <alignment horizontal="center" vertical="center"/>
    </xf>
    <xf numFmtId="0" fontId="0" fillId="4" borderId="0" xfId="0" applyFill="1"/>
    <xf numFmtId="0" fontId="13" fillId="6" borderId="0" xfId="0" applyFont="1" applyFill="1" applyAlignment="1">
      <alignment horizontal="center" vertical="center"/>
    </xf>
    <xf numFmtId="0" fontId="13" fillId="4" borderId="0" xfId="0" applyFont="1" applyFill="1" applyAlignment="1">
      <alignment horizontal="center" vertical="center"/>
    </xf>
    <xf numFmtId="0" fontId="13" fillId="5" borderId="0" xfId="0" applyFont="1" applyFill="1" applyAlignment="1">
      <alignment horizontal="center" vertical="center"/>
    </xf>
    <xf numFmtId="0" fontId="0" fillId="5" borderId="0" xfId="0" applyFill="1"/>
    <xf numFmtId="0" fontId="0" fillId="6" borderId="0" xfId="0" applyFill="1"/>
    <xf numFmtId="0" fontId="8" fillId="0" borderId="0" xfId="0" applyFont="1"/>
    <xf numFmtId="0" fontId="9" fillId="7" borderId="0" xfId="0" applyFont="1" applyFill="1" applyAlignment="1">
      <alignment horizontal="center" vertical="center"/>
    </xf>
    <xf numFmtId="165" fontId="0" fillId="0" borderId="0" xfId="1" applyNumberFormat="1" applyFont="1"/>
    <xf numFmtId="0" fontId="0" fillId="12" borderId="3" xfId="0" applyFill="1" applyBorder="1" applyAlignment="1">
      <alignment horizontal="left"/>
    </xf>
    <xf numFmtId="0" fontId="0" fillId="0" borderId="4" xfId="0" applyBorder="1"/>
    <xf numFmtId="171" fontId="0" fillId="10" borderId="2" xfId="0" applyNumberFormat="1" applyFill="1" applyBorder="1" applyAlignment="1">
      <alignment horizontal="center"/>
    </xf>
    <xf numFmtId="0" fontId="0" fillId="0" borderId="0" xfId="0" applyAlignment="1">
      <alignment horizontal="right"/>
    </xf>
    <xf numFmtId="9" fontId="5" fillId="11" borderId="2" xfId="2" applyFont="1" applyFill="1" applyBorder="1" applyAlignment="1">
      <alignment horizontal="center"/>
    </xf>
    <xf numFmtId="164" fontId="5" fillId="11" borderId="2" xfId="2" applyNumberFormat="1" applyFont="1" applyFill="1" applyBorder="1" applyAlignment="1">
      <alignment horizontal="center"/>
    </xf>
    <xf numFmtId="0" fontId="18" fillId="0" borderId="5" xfId="0" applyFont="1" applyFill="1" applyBorder="1" applyAlignment="1">
      <alignment horizontal="center" vertical="center"/>
    </xf>
    <xf numFmtId="0" fontId="19" fillId="13" borderId="0" xfId="0" applyFont="1" applyFill="1" applyAlignment="1">
      <alignment horizontal="center" vertical="center"/>
    </xf>
    <xf numFmtId="0" fontId="20" fillId="0" borderId="0" xfId="0" applyFont="1"/>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D6EAF8"/>
      <color rgb="FF0F1B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sz="1200" b="1" baseline="0">
                <a:solidFill>
                  <a:srgbClr val="FFFFFF"/>
                </a:solidFill>
              </a:defRPr>
            </a:pPr>
            <a:r>
              <a:rPr lang="en-US" sz="1200" b="1" baseline="0">
                <a:solidFill>
                  <a:srgbClr val="FFFFFF"/>
                </a:solidFill>
              </a:rPr>
              <a:t>Path to Financial Independence</a:t>
            </a:r>
          </a:p>
        </c:rich>
      </c:tx>
      <c:overlay val="0"/>
    </c:title>
    <c:autoTitleDeleted val="0"/>
    <c:plotArea>
      <c:layout/>
      <c:areaChart>
        <c:grouping val="standard"/>
        <c:varyColors val="0"/>
        <c:ser>
          <c:idx val="0"/>
          <c:order val="0"/>
          <c:tx>
            <c:v>Net Worth</c:v>
          </c:tx>
          <c:spPr>
            <a:solidFill>
              <a:srgbClr val="008080"/>
            </a:solidFill>
            <a:ln w="25400">
              <a:solidFill>
                <a:srgbClr val="008080"/>
              </a:solidFill>
              <a:prstDash val="solid"/>
            </a:ln>
          </c:spPr>
          <c:cat>
            <c:numRef>
              <c:f>Projection!$A$3:$A$83</c:f>
              <c:numCache>
                <c:formatCode>General</c:formatCode>
                <c:ptCount val="81"/>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pt idx="57">
                  <c:v>2081</c:v>
                </c:pt>
                <c:pt idx="58">
                  <c:v>2082</c:v>
                </c:pt>
                <c:pt idx="59">
                  <c:v>2083</c:v>
                </c:pt>
                <c:pt idx="60">
                  <c:v>2084</c:v>
                </c:pt>
                <c:pt idx="61">
                  <c:v>2085</c:v>
                </c:pt>
                <c:pt idx="62">
                  <c:v>2086</c:v>
                </c:pt>
                <c:pt idx="63">
                  <c:v>2087</c:v>
                </c:pt>
                <c:pt idx="64">
                  <c:v>2088</c:v>
                </c:pt>
                <c:pt idx="65">
                  <c:v>2089</c:v>
                </c:pt>
                <c:pt idx="66">
                  <c:v>2090</c:v>
                </c:pt>
                <c:pt idx="67">
                  <c:v>2091</c:v>
                </c:pt>
                <c:pt idx="68">
                  <c:v>2092</c:v>
                </c:pt>
                <c:pt idx="69">
                  <c:v>2093</c:v>
                </c:pt>
                <c:pt idx="70">
                  <c:v>2094</c:v>
                </c:pt>
                <c:pt idx="71">
                  <c:v>2095</c:v>
                </c:pt>
                <c:pt idx="72">
                  <c:v>2096</c:v>
                </c:pt>
                <c:pt idx="73">
                  <c:v>2097</c:v>
                </c:pt>
                <c:pt idx="74">
                  <c:v>2098</c:v>
                </c:pt>
                <c:pt idx="75">
                  <c:v>2099</c:v>
                </c:pt>
                <c:pt idx="76">
                  <c:v>2100</c:v>
                </c:pt>
                <c:pt idx="77">
                  <c:v>2101</c:v>
                </c:pt>
                <c:pt idx="78">
                  <c:v>2102</c:v>
                </c:pt>
                <c:pt idx="79">
                  <c:v>2103</c:v>
                </c:pt>
                <c:pt idx="80">
                  <c:v>2104</c:v>
                </c:pt>
              </c:numCache>
            </c:numRef>
          </c:cat>
          <c:val>
            <c:numRef>
              <c:f>Projection!$R$3:$R$83</c:f>
              <c:numCache>
                <c:formatCode>_("$"* #,##0_);_("$"* \(#,##0\);_("$"* "-"??_);_(@_)</c:formatCode>
                <c:ptCount val="81"/>
                <c:pt idx="0">
                  <c:v>378212</c:v>
                </c:pt>
                <c:pt idx="1">
                  <c:v>546397.72</c:v>
                </c:pt>
                <c:pt idx="2">
                  <c:v>725599.77740000002</c:v>
                </c:pt>
                <c:pt idx="3">
                  <c:v>916392.05577099998</c:v>
                </c:pt>
                <c:pt idx="4">
                  <c:v>1089662.5623772251</c:v>
                </c:pt>
                <c:pt idx="5">
                  <c:v>1273972.2182433368</c:v>
                </c:pt>
                <c:pt idx="6">
                  <c:v>1469901.3069077618</c:v>
                </c:pt>
                <c:pt idx="7">
                  <c:v>1678486.5410190253</c:v>
                </c:pt>
                <c:pt idx="8">
                  <c:v>1899964.1292374441</c:v>
                </c:pt>
                <c:pt idx="9">
                  <c:v>2135005.0044203624</c:v>
                </c:pt>
                <c:pt idx="10">
                  <c:v>2414147.857307096</c:v>
                </c:pt>
                <c:pt idx="11">
                  <c:v>2710085.9955250714</c:v>
                </c:pt>
                <c:pt idx="12">
                  <c:v>3023674.2086454942</c:v>
                </c:pt>
                <c:pt idx="13">
                  <c:v>3355808.3461496308</c:v>
                </c:pt>
                <c:pt idx="14">
                  <c:v>3707427.2839538804</c:v>
                </c:pt>
                <c:pt idx="15">
                  <c:v>4079514.9885737337</c:v>
                </c:pt>
                <c:pt idx="16">
                  <c:v>4080875.0418817317</c:v>
                </c:pt>
                <c:pt idx="17">
                  <c:v>4079321.0462203966</c:v>
                </c:pt>
                <c:pt idx="18">
                  <c:v>4074740.3577592578</c:v>
                </c:pt>
                <c:pt idx="19">
                  <c:v>4067020.5876775114</c:v>
                </c:pt>
                <c:pt idx="20">
                  <c:v>4056050.0242687073</c:v>
                </c:pt>
                <c:pt idx="21">
                  <c:v>4041718.1014441364</c:v>
                </c:pt>
                <c:pt idx="22">
                  <c:v>4023915.9175269622</c:v>
                </c:pt>
                <c:pt idx="23">
                  <c:v>4010825.8718716921</c:v>
                </c:pt>
                <c:pt idx="24">
                  <c:v>3994552.450881293</c:v>
                </c:pt>
                <c:pt idx="25">
                  <c:v>3975017.807002659</c:v>
                </c:pt>
                <c:pt idx="26">
                  <c:v>3952149.3190543074</c:v>
                </c:pt>
                <c:pt idx="27">
                  <c:v>4039166.2048491277</c:v>
                </c:pt>
                <c:pt idx="28">
                  <c:v>4129520.4029106237</c:v>
                </c:pt>
                <c:pt idx="29">
                  <c:v>4193066.7216783836</c:v>
                </c:pt>
                <c:pt idx="30">
                  <c:v>4268851.3526896704</c:v>
                </c:pt>
                <c:pt idx="31">
                  <c:v>4347508.5334255397</c:v>
                </c:pt>
                <c:pt idx="32">
                  <c:v>4429304.5768457698</c:v>
                </c:pt>
                <c:pt idx="33">
                  <c:v>4514530.4568194719</c:v>
                </c:pt>
                <c:pt idx="34">
                  <c:v>4603503.8334497092</c:v>
                </c:pt>
                <c:pt idx="35">
                  <c:v>4696571.2325626528</c:v>
                </c:pt>
                <c:pt idx="36">
                  <c:v>4794110.3906217786</c:v>
                </c:pt>
                <c:pt idx="37">
                  <c:v>4896532.7771325931</c:v>
                </c:pt>
                <c:pt idx="38">
                  <c:v>5004286.3074652925</c:v>
                </c:pt>
                <c:pt idx="39">
                  <c:v>5117858.2599456534</c:v>
                </c:pt>
                <c:pt idx="40">
                  <c:v>5237778.4120524824</c:v>
                </c:pt>
                <c:pt idx="41">
                  <c:v>5364622.4116178602</c:v>
                </c:pt>
                <c:pt idx="42">
                  <c:v>5499015.4000589885</c:v>
                </c:pt>
                <c:pt idx="43">
                  <c:v>5641635.9058829658</c:v>
                </c:pt>
                <c:pt idx="44">
                  <c:v>5793220.0280039664</c:v>
                </c:pt>
                <c:pt idx="45">
                  <c:v>5954565.9298019605</c:v>
                </c:pt>
                <c:pt idx="46">
                  <c:v>6126538.6663399087</c:v>
                </c:pt>
                <c:pt idx="47">
                  <c:v>6310075.36874892</c:v>
                </c:pt>
                <c:pt idx="48">
                  <c:v>6506190.8114958843</c:v>
                </c:pt>
                <c:pt idx="49">
                  <c:v>6715983.3900730964</c:v>
                </c:pt>
                <c:pt idx="50">
                  <c:v>6938541.2901394041</c:v>
                </c:pt>
                <c:pt idx="51">
                  <c:v>7168212.6640106179</c:v>
                </c:pt>
                <c:pt idx="52">
                  <c:v>7405223.0374337863</c:v>
                </c:pt>
                <c:pt idx="53">
                  <c:v>7649804.8124339413</c:v>
                </c:pt>
                <c:pt idx="54">
                  <c:v>7902197.4518177547</c:v>
                </c:pt>
                <c:pt idx="55">
                  <c:v>8162647.6665065847</c:v>
                </c:pt>
                <c:pt idx="56">
                  <c:v>8431409.6055471338</c:v>
                </c:pt>
                <c:pt idx="57">
                  <c:v>8708745.0486249961</c:v>
                </c:pt>
                <c:pt idx="58">
                  <c:v>8994923.6008812338</c:v>
                </c:pt>
                <c:pt idx="59">
                  <c:v>9290222.889804909</c:v>
                </c:pt>
                <c:pt idx="60">
                  <c:v>9594928.763944786</c:v>
                </c:pt>
                <c:pt idx="61">
                  <c:v>9946473.8024778347</c:v>
                </c:pt>
                <c:pt idx="62">
                  <c:v>10311736.419609863</c:v>
                </c:pt>
                <c:pt idx="63">
                  <c:v>10691321.725625843</c:v>
                </c:pt>
                <c:pt idx="64">
                  <c:v>11085865.398804437</c:v>
                </c:pt>
                <c:pt idx="65">
                  <c:v>11508329.394963207</c:v>
                </c:pt>
                <c:pt idx="66">
                  <c:v>11948351.2862588</c:v>
                </c:pt>
                <c:pt idx="67">
                  <c:v>12406766.460327305</c:v>
                </c:pt>
                <c:pt idx="68">
                  <c:v>12884455.6428892</c:v>
                </c:pt>
                <c:pt idx="69">
                  <c:v>13382347.62407979</c:v>
                </c:pt>
                <c:pt idx="70">
                  <c:v>14237296.165588334</c:v>
                </c:pt>
                <c:pt idx="71">
                  <c:v>15148048.473315394</c:v>
                </c:pt>
                <c:pt idx="72">
                  <c:v>16118349.105628783</c:v>
                </c:pt>
                <c:pt idx="73">
                  <c:v>17152198.27177136</c:v>
                </c:pt>
                <c:pt idx="74">
                  <c:v>18253869.468693864</c:v>
                </c:pt>
                <c:pt idx="75">
                  <c:v>19427928.342116881</c:v>
                </c:pt>
                <c:pt idx="76">
                  <c:v>20679252.857104089</c:v>
                </c:pt>
                <c:pt idx="77">
                  <c:v>22013054.869381964</c:v>
                </c:pt>
                <c:pt idx="78">
                  <c:v>23434903.195010513</c:v>
                </c:pt>
                <c:pt idx="79">
                  <c:v>24950748.282823928</c:v>
                </c:pt>
                <c:pt idx="80">
                  <c:v>26566948.601350792</c:v>
                </c:pt>
              </c:numCache>
            </c:numRef>
          </c:val>
          <c:extLst>
            <c:ext xmlns:c16="http://schemas.microsoft.com/office/drawing/2014/chart" uri="{C3380CC4-5D6E-409C-BE32-E72D297353CC}">
              <c16:uniqueId val="{00000000-D1A6-4ACA-80BF-F83077316994}"/>
            </c:ext>
          </c:extLst>
        </c:ser>
        <c:dLbls>
          <c:showLegendKey val="0"/>
          <c:showVal val="0"/>
          <c:showCatName val="0"/>
          <c:showSerName val="0"/>
          <c:showPercent val="0"/>
          <c:showBubbleSize val="0"/>
        </c:dLbls>
        <c:axId val="10"/>
        <c:axId val="100"/>
      </c:areaChart>
      <c:lineChart>
        <c:grouping val="standard"/>
        <c:varyColors val="0"/>
        <c:ser>
          <c:idx val="1"/>
          <c:order val="1"/>
          <c:tx>
            <c:v>FI Target</c:v>
          </c:tx>
          <c:spPr>
            <a:ln w="28575">
              <a:solidFill>
                <a:srgbClr val="FFD700"/>
              </a:solidFill>
              <a:prstDash val="dash"/>
            </a:ln>
          </c:spPr>
          <c:marker>
            <c:symbol val="none"/>
          </c:marker>
          <c:cat>
            <c:numRef>
              <c:f>Projection!$A$3:$A$83</c:f>
              <c:numCache>
                <c:formatCode>General</c:formatCode>
                <c:ptCount val="81"/>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pt idx="57">
                  <c:v>2081</c:v>
                </c:pt>
                <c:pt idx="58">
                  <c:v>2082</c:v>
                </c:pt>
                <c:pt idx="59">
                  <c:v>2083</c:v>
                </c:pt>
                <c:pt idx="60">
                  <c:v>2084</c:v>
                </c:pt>
                <c:pt idx="61">
                  <c:v>2085</c:v>
                </c:pt>
                <c:pt idx="62">
                  <c:v>2086</c:v>
                </c:pt>
                <c:pt idx="63">
                  <c:v>2087</c:v>
                </c:pt>
                <c:pt idx="64">
                  <c:v>2088</c:v>
                </c:pt>
                <c:pt idx="65">
                  <c:v>2089</c:v>
                </c:pt>
                <c:pt idx="66">
                  <c:v>2090</c:v>
                </c:pt>
                <c:pt idx="67">
                  <c:v>2091</c:v>
                </c:pt>
                <c:pt idx="68">
                  <c:v>2092</c:v>
                </c:pt>
                <c:pt idx="69">
                  <c:v>2093</c:v>
                </c:pt>
                <c:pt idx="70">
                  <c:v>2094</c:v>
                </c:pt>
                <c:pt idx="71">
                  <c:v>2095</c:v>
                </c:pt>
                <c:pt idx="72">
                  <c:v>2096</c:v>
                </c:pt>
                <c:pt idx="73">
                  <c:v>2097</c:v>
                </c:pt>
                <c:pt idx="74">
                  <c:v>2098</c:v>
                </c:pt>
                <c:pt idx="75">
                  <c:v>2099</c:v>
                </c:pt>
                <c:pt idx="76">
                  <c:v>2100</c:v>
                </c:pt>
                <c:pt idx="77">
                  <c:v>2101</c:v>
                </c:pt>
                <c:pt idx="78">
                  <c:v>2102</c:v>
                </c:pt>
                <c:pt idx="79">
                  <c:v>2103</c:v>
                </c:pt>
                <c:pt idx="80">
                  <c:v>2104</c:v>
                </c:pt>
              </c:numCache>
            </c:numRef>
          </c:cat>
          <c:val>
            <c:numRef>
              <c:f>Projection!$S$3:$S$83</c:f>
              <c:numCache>
                <c:formatCode>_("$"* #,##0_);_("$"* \(#,##0\);_("$"* "-"??_);_(@_)</c:formatCode>
                <c:ptCount val="81"/>
                <c:pt idx="0">
                  <c:v>2324700</c:v>
                </c:pt>
                <c:pt idx="1">
                  <c:v>2394441</c:v>
                </c:pt>
                <c:pt idx="2">
                  <c:v>2466274.23</c:v>
                </c:pt>
                <c:pt idx="3">
                  <c:v>2540262.4569000001</c:v>
                </c:pt>
                <c:pt idx="4">
                  <c:v>3359306.1452069995</c:v>
                </c:pt>
                <c:pt idx="5">
                  <c:v>3460085.3295632093</c:v>
                </c:pt>
                <c:pt idx="6">
                  <c:v>3563887.8894501068</c:v>
                </c:pt>
                <c:pt idx="7">
                  <c:v>3660104.6235044128</c:v>
                </c:pt>
                <c:pt idx="8">
                  <c:v>3769907.7622095458</c:v>
                </c:pt>
                <c:pt idx="9">
                  <c:v>3883004.9950758317</c:v>
                </c:pt>
                <c:pt idx="10">
                  <c:v>3253621.5543921189</c:v>
                </c:pt>
                <c:pt idx="11">
                  <c:v>3351230.2010238823</c:v>
                </c:pt>
                <c:pt idx="12">
                  <c:v>3451767.1070545991</c:v>
                </c:pt>
                <c:pt idx="13">
                  <c:v>3555320.1202662364</c:v>
                </c:pt>
                <c:pt idx="14">
                  <c:v>3661979.7238742234</c:v>
                </c:pt>
                <c:pt idx="15">
                  <c:v>3771839.1155904508</c:v>
                </c:pt>
                <c:pt idx="16">
                  <c:v>3884994.2890581628</c:v>
                </c:pt>
                <c:pt idx="17">
                  <c:v>4001544.1177299083</c:v>
                </c:pt>
                <c:pt idx="18">
                  <c:v>4121590.4412618051</c:v>
                </c:pt>
                <c:pt idx="19">
                  <c:v>4245238.1544996593</c:v>
                </c:pt>
                <c:pt idx="20">
                  <c:v>4372595.2991346493</c:v>
                </c:pt>
                <c:pt idx="21">
                  <c:v>4503773.158108687</c:v>
                </c:pt>
                <c:pt idx="22">
                  <c:v>4638886.3528519506</c:v>
                </c:pt>
                <c:pt idx="23">
                  <c:v>4570826.3597692149</c:v>
                </c:pt>
                <c:pt idx="24">
                  <c:v>4707951.1505622901</c:v>
                </c:pt>
                <c:pt idx="25">
                  <c:v>4849189.6850791592</c:v>
                </c:pt>
                <c:pt idx="26">
                  <c:v>4994665.3756315345</c:v>
                </c:pt>
                <c:pt idx="27">
                  <c:v>2312361.8547985321</c:v>
                </c:pt>
                <c:pt idx="28">
                  <c:v>2381732.7104424881</c:v>
                </c:pt>
                <c:pt idx="29">
                  <c:v>3213177.0674437862</c:v>
                </c:pt>
                <c:pt idx="30">
                  <c:v>3054709.8199921865</c:v>
                </c:pt>
                <c:pt idx="31">
                  <c:v>3146351.1145919519</c:v>
                </c:pt>
                <c:pt idx="32">
                  <c:v>3240741.6480297102</c:v>
                </c:pt>
                <c:pt idx="33">
                  <c:v>3337963.8974706014</c:v>
                </c:pt>
                <c:pt idx="34">
                  <c:v>3438102.8143947185</c:v>
                </c:pt>
                <c:pt idx="35">
                  <c:v>3541245.8988265614</c:v>
                </c:pt>
                <c:pt idx="36">
                  <c:v>3647483.2757913577</c:v>
                </c:pt>
                <c:pt idx="37">
                  <c:v>3756907.7740650973</c:v>
                </c:pt>
                <c:pt idx="38">
                  <c:v>3869615.0072870506</c:v>
                </c:pt>
                <c:pt idx="39">
                  <c:v>3985703.4575056625</c:v>
                </c:pt>
                <c:pt idx="40">
                  <c:v>4105274.5612308318</c:v>
                </c:pt>
                <c:pt idx="41">
                  <c:v>4228432.7980677579</c:v>
                </c:pt>
                <c:pt idx="42">
                  <c:v>4355285.7820097897</c:v>
                </c:pt>
                <c:pt idx="43">
                  <c:v>4485944.3554700827</c:v>
                </c:pt>
                <c:pt idx="44">
                  <c:v>4620522.6861341847</c:v>
                </c:pt>
                <c:pt idx="45">
                  <c:v>4759138.3667182121</c:v>
                </c:pt>
                <c:pt idx="46">
                  <c:v>4901912.5177197577</c:v>
                </c:pt>
                <c:pt idx="47">
                  <c:v>5048969.8932513511</c:v>
                </c:pt>
                <c:pt idx="48">
                  <c:v>5200438.9900488919</c:v>
                </c:pt>
                <c:pt idx="49">
                  <c:v>5356452.1597503573</c:v>
                </c:pt>
                <c:pt idx="50">
                  <c:v>5517145.7245428693</c:v>
                </c:pt>
                <c:pt idx="51">
                  <c:v>5682660.0962791545</c:v>
                </c:pt>
                <c:pt idx="52">
                  <c:v>5853139.8991675293</c:v>
                </c:pt>
                <c:pt idx="53">
                  <c:v>6028734.0961425537</c:v>
                </c:pt>
                <c:pt idx="54">
                  <c:v>6209596.1190268304</c:v>
                </c:pt>
                <c:pt idx="55">
                  <c:v>6395884.0025976375</c:v>
                </c:pt>
                <c:pt idx="56">
                  <c:v>6587760.5226755617</c:v>
                </c:pt>
                <c:pt idx="57">
                  <c:v>6785393.3383558318</c:v>
                </c:pt>
                <c:pt idx="58">
                  <c:v>6988955.1385065056</c:v>
                </c:pt>
                <c:pt idx="59">
                  <c:v>7198623.7926617032</c:v>
                </c:pt>
                <c:pt idx="60">
                  <c:v>7414582.5064415522</c:v>
                </c:pt>
                <c:pt idx="61">
                  <c:v>6708562.2484682314</c:v>
                </c:pt>
                <c:pt idx="62">
                  <c:v>6909819.1159222787</c:v>
                </c:pt>
                <c:pt idx="63">
                  <c:v>7117113.6893999483</c:v>
                </c:pt>
                <c:pt idx="64">
                  <c:v>7330627.1000819439</c:v>
                </c:pt>
                <c:pt idx="65">
                  <c:v>7243196.69002805</c:v>
                </c:pt>
                <c:pt idx="66">
                  <c:v>7460492.590728892</c:v>
                </c:pt>
                <c:pt idx="67">
                  <c:v>7684307.3684507571</c:v>
                </c:pt>
                <c:pt idx="68">
                  <c:v>7914836.5895042792</c:v>
                </c:pt>
                <c:pt idx="69">
                  <c:v>8152281.6871894086</c:v>
                </c:pt>
                <c:pt idx="70">
                  <c:v>0</c:v>
                </c:pt>
                <c:pt idx="71">
                  <c:v>0</c:v>
                </c:pt>
                <c:pt idx="72">
                  <c:v>0</c:v>
                </c:pt>
                <c:pt idx="73">
                  <c:v>0</c:v>
                </c:pt>
                <c:pt idx="74">
                  <c:v>0</c:v>
                </c:pt>
                <c:pt idx="75">
                  <c:v>0</c:v>
                </c:pt>
                <c:pt idx="76">
                  <c:v>0</c:v>
                </c:pt>
                <c:pt idx="77">
                  <c:v>0</c:v>
                </c:pt>
                <c:pt idx="78">
                  <c:v>0</c:v>
                </c:pt>
                <c:pt idx="79">
                  <c:v>0</c:v>
                </c:pt>
                <c:pt idx="80">
                  <c:v>0</c:v>
                </c:pt>
              </c:numCache>
            </c:numRef>
          </c:val>
          <c:smooth val="0"/>
          <c:extLst>
            <c:ext xmlns:c16="http://schemas.microsoft.com/office/drawing/2014/chart" uri="{C3380CC4-5D6E-409C-BE32-E72D297353CC}">
              <c16:uniqueId val="{00000001-D1A6-4ACA-80BF-F83077316994}"/>
            </c:ext>
          </c:extLst>
        </c:ser>
        <c:dLbls>
          <c:showLegendKey val="0"/>
          <c:showVal val="0"/>
          <c:showCatName val="0"/>
          <c:showSerName val="0"/>
          <c:showPercent val="0"/>
          <c:showBubbleSize val="0"/>
        </c:dLbls>
        <c:marker val="1"/>
        <c:smooth val="0"/>
        <c:axId val="50010001"/>
        <c:axId val="50010002"/>
      </c:lineChart>
      <c:catAx>
        <c:axId val="10"/>
        <c:scaling>
          <c:orientation val="minMax"/>
        </c:scaling>
        <c:delete val="1"/>
        <c:axPos val="b"/>
        <c:numFmt formatCode="General" sourceLinked="0"/>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numFmt formatCode="_(&quot;$&quot;* #,##0_);_(&quot;$&quot;* \(#,##0\);_(&quot;$&quot;* &quot;-&quot;??_);_(@_)" sourceLinked="1"/>
        <c:majorTickMark val="none"/>
        <c:minorTickMark val="none"/>
        <c:tickLblPos val="nextTo"/>
        <c:crossAx val="10"/>
        <c:crosses val="autoZero"/>
        <c:crossBetween val="between"/>
      </c:valAx>
      <c:catAx>
        <c:axId val="50010001"/>
        <c:scaling>
          <c:orientation val="minMax"/>
        </c:scaling>
        <c:delete val="0"/>
        <c:axPos val="b"/>
        <c:title>
          <c:tx>
            <c:rich>
              <a:bodyPr/>
              <a:lstStyle/>
              <a:p>
                <a:pPr>
                  <a:defRPr sz="900" baseline="0">
                    <a:solidFill>
                      <a:srgbClr val="D0D7DE"/>
                    </a:solidFill>
                  </a:defRPr>
                </a:pPr>
                <a:r>
                  <a:rPr lang="en-US" sz="900" baseline="0">
                    <a:solidFill>
                      <a:srgbClr val="D0D7DE"/>
                    </a:solidFill>
                  </a:rPr>
                  <a:t>Calendar year</a:t>
                </a:r>
              </a:p>
            </c:rich>
          </c:tx>
          <c:overlay val="0"/>
        </c:title>
        <c:numFmt formatCode="General" sourceLinked="1"/>
        <c:majorTickMark val="out"/>
        <c:minorTickMark val="none"/>
        <c:tickLblPos val="low"/>
        <c:spPr>
          <a:ln>
            <a:solidFill>
              <a:srgbClr val="425466"/>
            </a:solidFill>
            <a:prstDash val="solid"/>
          </a:ln>
        </c:spPr>
        <c:txPr>
          <a:bodyPr/>
          <a:lstStyle/>
          <a:p>
            <a:pPr>
              <a:defRPr sz="800" baseline="0">
                <a:solidFill>
                  <a:srgbClr val="A8B3C2"/>
                </a:solidFill>
              </a:defRPr>
            </a:pPr>
            <a:endParaRPr lang="en-US"/>
          </a:p>
        </c:txPr>
        <c:crossAx val="50010002"/>
        <c:crosses val="autoZero"/>
        <c:auto val="1"/>
        <c:lblAlgn val="ctr"/>
        <c:lblOffset val="100"/>
        <c:noMultiLvlLbl val="0"/>
      </c:catAx>
      <c:valAx>
        <c:axId val="50010002"/>
        <c:scaling>
          <c:orientation val="minMax"/>
        </c:scaling>
        <c:delete val="0"/>
        <c:axPos val="l"/>
        <c:majorGridlines>
          <c:spPr>
            <a:ln w="9525">
              <a:solidFill>
                <a:srgbClr val="203245"/>
              </a:solidFill>
              <a:prstDash val="solid"/>
            </a:ln>
          </c:spPr>
        </c:majorGridlines>
        <c:title>
          <c:tx>
            <c:rich>
              <a:bodyPr rot="-5400000" vert="horz"/>
              <a:lstStyle/>
              <a:p>
                <a:pPr>
                  <a:defRPr sz="900" baseline="0">
                    <a:solidFill>
                      <a:srgbClr val="D0D7DE"/>
                    </a:solidFill>
                  </a:defRPr>
                </a:pPr>
                <a:r>
                  <a:rPr lang="en-US" sz="900" baseline="0">
                    <a:solidFill>
                      <a:srgbClr val="D0D7DE"/>
                    </a:solidFill>
                  </a:rPr>
                  <a:t>Net worth / FI target</a:t>
                </a:r>
              </a:p>
            </c:rich>
          </c:tx>
          <c:overlay val="0"/>
        </c:title>
        <c:numFmt formatCode="\$#,##0" sourceLinked="0"/>
        <c:majorTickMark val="out"/>
        <c:minorTickMark val="none"/>
        <c:tickLblPos val="nextTo"/>
        <c:spPr>
          <a:ln>
            <a:noFill/>
            <a:prstDash val="solid"/>
          </a:ln>
        </c:spPr>
        <c:txPr>
          <a:bodyPr/>
          <a:lstStyle/>
          <a:p>
            <a:pPr>
              <a:defRPr sz="800" baseline="0">
                <a:solidFill>
                  <a:srgbClr val="A8B3C2"/>
                </a:solidFill>
              </a:defRPr>
            </a:pPr>
            <a:endParaRPr lang="en-US"/>
          </a:p>
        </c:txPr>
        <c:crossAx val="50010001"/>
        <c:crosses val="autoZero"/>
        <c:crossBetween val="midCat"/>
      </c:valAx>
      <c:spPr>
        <a:solidFill>
          <a:srgbClr val="0F1B2B"/>
        </a:solidFill>
      </c:spPr>
    </c:plotArea>
    <c:legend>
      <c:legendPos val="t"/>
      <c:overlay val="0"/>
      <c:txPr>
        <a:bodyPr/>
        <a:lstStyle/>
        <a:p>
          <a:pPr>
            <a:defRPr sz="900" baseline="0">
              <a:solidFill>
                <a:srgbClr val="D0D7DE"/>
              </a:solidFill>
            </a:defRPr>
          </a:pPr>
          <a:endParaRPr lang="en-US"/>
        </a:p>
      </c:txPr>
    </c:legend>
    <c:plotVisOnly val="1"/>
    <c:dispBlanksAs val="gap"/>
    <c:showDLblsOverMax val="1"/>
  </c:chart>
  <c:spPr>
    <a:solidFill>
      <a:srgbClr val="0F1B2B"/>
    </a:solidFill>
    <a:ln>
      <a:no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sz="1200" b="1" baseline="0">
                <a:solidFill>
                  <a:srgbClr val="FFFFFF"/>
                </a:solidFill>
              </a:defRPr>
            </a:pPr>
            <a:r>
              <a:rPr lang="en-US" sz="1200" b="1" baseline="0">
                <a:solidFill>
                  <a:srgbClr val="FFFFFF"/>
                </a:solidFill>
              </a:rPr>
              <a:t>Retirement Drawdown by Account Type</a:t>
            </a:r>
          </a:p>
        </c:rich>
      </c:tx>
      <c:overlay val="0"/>
    </c:title>
    <c:autoTitleDeleted val="0"/>
    <c:plotArea>
      <c:layout/>
      <c:barChart>
        <c:barDir val="col"/>
        <c:grouping val="stacked"/>
        <c:varyColors val="0"/>
        <c:ser>
          <c:idx val="0"/>
          <c:order val="0"/>
          <c:tx>
            <c:v>Taxable</c:v>
          </c:tx>
          <c:spPr>
            <a:solidFill>
              <a:srgbClr val="3498DB"/>
            </a:solidFill>
            <a:ln>
              <a:noFill/>
              <a:prstDash val="solid"/>
            </a:ln>
          </c:spPr>
          <c:invertIfNegative val="0"/>
          <c:cat>
            <c:numRef>
              <c:f>Projection!$A$3:$A$83</c:f>
              <c:numCache>
                <c:formatCode>General</c:formatCode>
                <c:ptCount val="81"/>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pt idx="57">
                  <c:v>2081</c:v>
                </c:pt>
                <c:pt idx="58">
                  <c:v>2082</c:v>
                </c:pt>
                <c:pt idx="59">
                  <c:v>2083</c:v>
                </c:pt>
                <c:pt idx="60">
                  <c:v>2084</c:v>
                </c:pt>
                <c:pt idx="61">
                  <c:v>2085</c:v>
                </c:pt>
                <c:pt idx="62">
                  <c:v>2086</c:v>
                </c:pt>
                <c:pt idx="63">
                  <c:v>2087</c:v>
                </c:pt>
                <c:pt idx="64">
                  <c:v>2088</c:v>
                </c:pt>
                <c:pt idx="65">
                  <c:v>2089</c:v>
                </c:pt>
                <c:pt idx="66">
                  <c:v>2090</c:v>
                </c:pt>
                <c:pt idx="67">
                  <c:v>2091</c:v>
                </c:pt>
                <c:pt idx="68">
                  <c:v>2092</c:v>
                </c:pt>
                <c:pt idx="69">
                  <c:v>2093</c:v>
                </c:pt>
                <c:pt idx="70">
                  <c:v>2094</c:v>
                </c:pt>
                <c:pt idx="71">
                  <c:v>2095</c:v>
                </c:pt>
                <c:pt idx="72">
                  <c:v>2096</c:v>
                </c:pt>
                <c:pt idx="73">
                  <c:v>2097</c:v>
                </c:pt>
                <c:pt idx="74">
                  <c:v>2098</c:v>
                </c:pt>
                <c:pt idx="75">
                  <c:v>2099</c:v>
                </c:pt>
                <c:pt idx="76">
                  <c:v>2100</c:v>
                </c:pt>
                <c:pt idx="77">
                  <c:v>2101</c:v>
                </c:pt>
                <c:pt idx="78">
                  <c:v>2102</c:v>
                </c:pt>
                <c:pt idx="79">
                  <c:v>2103</c:v>
                </c:pt>
                <c:pt idx="80">
                  <c:v>2104</c:v>
                </c:pt>
              </c:numCache>
            </c:numRef>
          </c:cat>
          <c:val>
            <c:numRef>
              <c:f>Projection!$N$3:$N$83</c:f>
              <c:numCache>
                <c:formatCode>_("$"* #,##0_);_("$"* \(#,##0\);_("$"* "-"??_);_(@_)</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155399.77156232652</c:v>
                </c:pt>
                <c:pt idx="17">
                  <c:v>160061.76470919634</c:v>
                </c:pt>
                <c:pt idx="18">
                  <c:v>164863.61765047221</c:v>
                </c:pt>
                <c:pt idx="19">
                  <c:v>169809.52617998639</c:v>
                </c:pt>
                <c:pt idx="20">
                  <c:v>174903.81196538598</c:v>
                </c:pt>
                <c:pt idx="21">
                  <c:v>180150.9263243475</c:v>
                </c:pt>
                <c:pt idx="22">
                  <c:v>185555.45411407802</c:v>
                </c:pt>
                <c:pt idx="23">
                  <c:v>182833.05439076861</c:v>
                </c:pt>
                <c:pt idx="24">
                  <c:v>188318.04602249162</c:v>
                </c:pt>
                <c:pt idx="25">
                  <c:v>193967.58740316637</c:v>
                </c:pt>
                <c:pt idx="26">
                  <c:v>199786.61502526139</c:v>
                </c:pt>
                <c:pt idx="27">
                  <c:v>92494.474191941292</c:v>
                </c:pt>
                <c:pt idx="28">
                  <c:v>95269.308417699518</c:v>
                </c:pt>
                <c:pt idx="29">
                  <c:v>128527.08269775145</c:v>
                </c:pt>
                <c:pt idx="30">
                  <c:v>122188.39279968746</c:v>
                </c:pt>
                <c:pt idx="31">
                  <c:v>125854.04458367809</c:v>
                </c:pt>
                <c:pt idx="32">
                  <c:v>129629.66592118841</c:v>
                </c:pt>
                <c:pt idx="33">
                  <c:v>133518.55589882407</c:v>
                </c:pt>
                <c:pt idx="34">
                  <c:v>137524.11257578875</c:v>
                </c:pt>
                <c:pt idx="35">
                  <c:v>141649.83595306246</c:v>
                </c:pt>
                <c:pt idx="36">
                  <c:v>145899.33103165432</c:v>
                </c:pt>
                <c:pt idx="37">
                  <c:v>150276.31096260389</c:v>
                </c:pt>
                <c:pt idx="38">
                  <c:v>154784.60029148203</c:v>
                </c:pt>
                <c:pt idx="39">
                  <c:v>159428.13830022651</c:v>
                </c:pt>
                <c:pt idx="40">
                  <c:v>164210.98244923327</c:v>
                </c:pt>
                <c:pt idx="41">
                  <c:v>169137.3119227103</c:v>
                </c:pt>
                <c:pt idx="42">
                  <c:v>174211.43128039161</c:v>
                </c:pt>
                <c:pt idx="43">
                  <c:v>179437.77421880333</c:v>
                </c:pt>
                <c:pt idx="44">
                  <c:v>184820.9074453674</c:v>
                </c:pt>
                <c:pt idx="45">
                  <c:v>190365.53466872848</c:v>
                </c:pt>
                <c:pt idx="46">
                  <c:v>196076.50070879032</c:v>
                </c:pt>
                <c:pt idx="47">
                  <c:v>201958.79573005403</c:v>
                </c:pt>
                <c:pt idx="48">
                  <c:v>208017.55960195567</c:v>
                </c:pt>
                <c:pt idx="49">
                  <c:v>161751.87479582513</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extLst>
            <c:ext xmlns:c16="http://schemas.microsoft.com/office/drawing/2014/chart" uri="{C3380CC4-5D6E-409C-BE32-E72D297353CC}">
              <c16:uniqueId val="{00000000-8F8A-4C60-9DA7-03AE025AA87C}"/>
            </c:ext>
          </c:extLst>
        </c:ser>
        <c:ser>
          <c:idx val="1"/>
          <c:order val="1"/>
          <c:tx>
            <c:v>Pre-Tax</c:v>
          </c:tx>
          <c:spPr>
            <a:solidFill>
              <a:srgbClr val="9B59B6"/>
            </a:solidFill>
            <a:ln>
              <a:noFill/>
              <a:prstDash val="solid"/>
            </a:ln>
          </c:spPr>
          <c:invertIfNegative val="0"/>
          <c:cat>
            <c:numRef>
              <c:f>Projection!$A$3:$A$83</c:f>
              <c:numCache>
                <c:formatCode>General</c:formatCode>
                <c:ptCount val="81"/>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pt idx="57">
                  <c:v>2081</c:v>
                </c:pt>
                <c:pt idx="58">
                  <c:v>2082</c:v>
                </c:pt>
                <c:pt idx="59">
                  <c:v>2083</c:v>
                </c:pt>
                <c:pt idx="60">
                  <c:v>2084</c:v>
                </c:pt>
                <c:pt idx="61">
                  <c:v>2085</c:v>
                </c:pt>
                <c:pt idx="62">
                  <c:v>2086</c:v>
                </c:pt>
                <c:pt idx="63">
                  <c:v>2087</c:v>
                </c:pt>
                <c:pt idx="64">
                  <c:v>2088</c:v>
                </c:pt>
                <c:pt idx="65">
                  <c:v>2089</c:v>
                </c:pt>
                <c:pt idx="66">
                  <c:v>2090</c:v>
                </c:pt>
                <c:pt idx="67">
                  <c:v>2091</c:v>
                </c:pt>
                <c:pt idx="68">
                  <c:v>2092</c:v>
                </c:pt>
                <c:pt idx="69">
                  <c:v>2093</c:v>
                </c:pt>
                <c:pt idx="70">
                  <c:v>2094</c:v>
                </c:pt>
                <c:pt idx="71">
                  <c:v>2095</c:v>
                </c:pt>
                <c:pt idx="72">
                  <c:v>2096</c:v>
                </c:pt>
                <c:pt idx="73">
                  <c:v>2097</c:v>
                </c:pt>
                <c:pt idx="74">
                  <c:v>2098</c:v>
                </c:pt>
                <c:pt idx="75">
                  <c:v>2099</c:v>
                </c:pt>
                <c:pt idx="76">
                  <c:v>2100</c:v>
                </c:pt>
                <c:pt idx="77">
                  <c:v>2101</c:v>
                </c:pt>
                <c:pt idx="78">
                  <c:v>2102</c:v>
                </c:pt>
                <c:pt idx="79">
                  <c:v>2103</c:v>
                </c:pt>
                <c:pt idx="80">
                  <c:v>2104</c:v>
                </c:pt>
              </c:numCache>
            </c:numRef>
          </c:cat>
          <c:val>
            <c:numRef>
              <c:f>Projection!$O$3:$O$83</c:f>
              <c:numCache>
                <c:formatCode>_("$"* #,##0_);_("$"* \(#,##0\);_("$"* "-"??_);_(@_)</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52506.211594189168</c:v>
                </c:pt>
                <c:pt idx="50">
                  <c:v>220685.82898171476</c:v>
                </c:pt>
                <c:pt idx="51">
                  <c:v>227306.40385116619</c:v>
                </c:pt>
                <c:pt idx="52">
                  <c:v>234125.59596670119</c:v>
                </c:pt>
                <c:pt idx="53">
                  <c:v>241149.36384570214</c:v>
                </c:pt>
                <c:pt idx="54">
                  <c:v>248383.84476107324</c:v>
                </c:pt>
                <c:pt idx="55">
                  <c:v>255835.36010390549</c:v>
                </c:pt>
                <c:pt idx="56">
                  <c:v>263510.42090702249</c:v>
                </c:pt>
                <c:pt idx="57">
                  <c:v>271415.7335342333</c:v>
                </c:pt>
                <c:pt idx="58">
                  <c:v>279558.20554026024</c:v>
                </c:pt>
                <c:pt idx="59">
                  <c:v>287944.95170646813</c:v>
                </c:pt>
                <c:pt idx="60">
                  <c:v>296583.30025766208</c:v>
                </c:pt>
                <c:pt idx="61">
                  <c:v>268342.48993872927</c:v>
                </c:pt>
                <c:pt idx="62">
                  <c:v>276392.76463689114</c:v>
                </c:pt>
                <c:pt idx="63">
                  <c:v>284684.54757599795</c:v>
                </c:pt>
                <c:pt idx="64">
                  <c:v>293225.08400327776</c:v>
                </c:pt>
                <c:pt idx="65">
                  <c:v>289727.86760112201</c:v>
                </c:pt>
                <c:pt idx="66">
                  <c:v>298419.7036291557</c:v>
                </c:pt>
                <c:pt idx="67">
                  <c:v>307372.29473803029</c:v>
                </c:pt>
                <c:pt idx="68">
                  <c:v>316593.46358017117</c:v>
                </c:pt>
                <c:pt idx="69">
                  <c:v>326091.26748757635</c:v>
                </c:pt>
                <c:pt idx="70">
                  <c:v>0</c:v>
                </c:pt>
                <c:pt idx="71">
                  <c:v>0</c:v>
                </c:pt>
                <c:pt idx="72">
                  <c:v>0</c:v>
                </c:pt>
                <c:pt idx="73">
                  <c:v>0</c:v>
                </c:pt>
                <c:pt idx="74">
                  <c:v>0</c:v>
                </c:pt>
                <c:pt idx="75">
                  <c:v>0</c:v>
                </c:pt>
                <c:pt idx="76">
                  <c:v>0</c:v>
                </c:pt>
                <c:pt idx="77">
                  <c:v>0</c:v>
                </c:pt>
                <c:pt idx="78">
                  <c:v>0</c:v>
                </c:pt>
                <c:pt idx="79">
                  <c:v>0</c:v>
                </c:pt>
                <c:pt idx="80">
                  <c:v>0</c:v>
                </c:pt>
              </c:numCache>
            </c:numRef>
          </c:val>
          <c:extLst>
            <c:ext xmlns:c16="http://schemas.microsoft.com/office/drawing/2014/chart" uri="{C3380CC4-5D6E-409C-BE32-E72D297353CC}">
              <c16:uniqueId val="{00000001-8F8A-4C60-9DA7-03AE025AA87C}"/>
            </c:ext>
          </c:extLst>
        </c:ser>
        <c:ser>
          <c:idx val="2"/>
          <c:order val="2"/>
          <c:tx>
            <c:v>Tax-Free</c:v>
          </c:tx>
          <c:spPr>
            <a:solidFill>
              <a:srgbClr val="1ABC9C"/>
            </a:solidFill>
            <a:ln>
              <a:noFill/>
              <a:prstDash val="solid"/>
            </a:ln>
          </c:spPr>
          <c:invertIfNegative val="0"/>
          <c:cat>
            <c:numRef>
              <c:f>Projection!$A$3:$A$83</c:f>
              <c:numCache>
                <c:formatCode>General</c:formatCode>
                <c:ptCount val="81"/>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pt idx="57">
                  <c:v>2081</c:v>
                </c:pt>
                <c:pt idx="58">
                  <c:v>2082</c:v>
                </c:pt>
                <c:pt idx="59">
                  <c:v>2083</c:v>
                </c:pt>
                <c:pt idx="60">
                  <c:v>2084</c:v>
                </c:pt>
                <c:pt idx="61">
                  <c:v>2085</c:v>
                </c:pt>
                <c:pt idx="62">
                  <c:v>2086</c:v>
                </c:pt>
                <c:pt idx="63">
                  <c:v>2087</c:v>
                </c:pt>
                <c:pt idx="64">
                  <c:v>2088</c:v>
                </c:pt>
                <c:pt idx="65">
                  <c:v>2089</c:v>
                </c:pt>
                <c:pt idx="66">
                  <c:v>2090</c:v>
                </c:pt>
                <c:pt idx="67">
                  <c:v>2091</c:v>
                </c:pt>
                <c:pt idx="68">
                  <c:v>2092</c:v>
                </c:pt>
                <c:pt idx="69">
                  <c:v>2093</c:v>
                </c:pt>
                <c:pt idx="70">
                  <c:v>2094</c:v>
                </c:pt>
                <c:pt idx="71">
                  <c:v>2095</c:v>
                </c:pt>
                <c:pt idx="72">
                  <c:v>2096</c:v>
                </c:pt>
                <c:pt idx="73">
                  <c:v>2097</c:v>
                </c:pt>
                <c:pt idx="74">
                  <c:v>2098</c:v>
                </c:pt>
                <c:pt idx="75">
                  <c:v>2099</c:v>
                </c:pt>
                <c:pt idx="76">
                  <c:v>2100</c:v>
                </c:pt>
                <c:pt idx="77">
                  <c:v>2101</c:v>
                </c:pt>
                <c:pt idx="78">
                  <c:v>2102</c:v>
                </c:pt>
                <c:pt idx="79">
                  <c:v>2103</c:v>
                </c:pt>
                <c:pt idx="80">
                  <c:v>2104</c:v>
                </c:pt>
              </c:numCache>
            </c:numRef>
          </c:cat>
          <c:val>
            <c:numRef>
              <c:f>Projection!$P$3:$P$83</c:f>
              <c:numCache>
                <c:formatCode>_("$"* #,##0_);_("$"* \(#,##0\);_("$"* "-"??_);_(@_)</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extLst>
            <c:ext xmlns:c16="http://schemas.microsoft.com/office/drawing/2014/chart" uri="{C3380CC4-5D6E-409C-BE32-E72D297353CC}">
              <c16:uniqueId val="{00000002-8F8A-4C60-9DA7-03AE025AA87C}"/>
            </c:ext>
          </c:extLst>
        </c:ser>
        <c:dLbls>
          <c:showLegendKey val="0"/>
          <c:showVal val="0"/>
          <c:showCatName val="0"/>
          <c:showSerName val="0"/>
          <c:showPercent val="0"/>
          <c:showBubbleSize val="0"/>
        </c:dLbls>
        <c:gapWidth val="150"/>
        <c:overlap val="100"/>
        <c:axId val="50020001"/>
        <c:axId val="50020002"/>
      </c:barChart>
      <c:catAx>
        <c:axId val="50020001"/>
        <c:scaling>
          <c:orientation val="minMax"/>
        </c:scaling>
        <c:delete val="0"/>
        <c:axPos val="b"/>
        <c:title>
          <c:tx>
            <c:rich>
              <a:bodyPr/>
              <a:lstStyle/>
              <a:p>
                <a:pPr>
                  <a:defRPr sz="900" baseline="0">
                    <a:solidFill>
                      <a:srgbClr val="D0D7DE"/>
                    </a:solidFill>
                  </a:defRPr>
                </a:pPr>
                <a:r>
                  <a:rPr lang="en-US" sz="900" baseline="0">
                    <a:solidFill>
                      <a:srgbClr val="D0D7DE"/>
                    </a:solidFill>
                  </a:rPr>
                  <a:t>Calendar year</a:t>
                </a:r>
              </a:p>
            </c:rich>
          </c:tx>
          <c:overlay val="0"/>
        </c:title>
        <c:numFmt formatCode="General" sourceLinked="1"/>
        <c:majorTickMark val="out"/>
        <c:minorTickMark val="none"/>
        <c:tickLblPos val="low"/>
        <c:spPr>
          <a:ln>
            <a:solidFill>
              <a:srgbClr val="425466"/>
            </a:solidFill>
            <a:prstDash val="solid"/>
          </a:ln>
        </c:spPr>
        <c:txPr>
          <a:bodyPr/>
          <a:lstStyle/>
          <a:p>
            <a:pPr>
              <a:defRPr sz="800" baseline="0">
                <a:solidFill>
                  <a:srgbClr val="A8B3C2"/>
                </a:solidFill>
              </a:defRPr>
            </a:pPr>
            <a:endParaRPr lang="en-US"/>
          </a:p>
        </c:txPr>
        <c:crossAx val="50020002"/>
        <c:crosses val="autoZero"/>
        <c:auto val="1"/>
        <c:lblAlgn val="ctr"/>
        <c:lblOffset val="100"/>
        <c:noMultiLvlLbl val="0"/>
      </c:catAx>
      <c:valAx>
        <c:axId val="50020002"/>
        <c:scaling>
          <c:orientation val="minMax"/>
        </c:scaling>
        <c:delete val="0"/>
        <c:axPos val="l"/>
        <c:majorGridlines>
          <c:spPr>
            <a:ln w="9525">
              <a:solidFill>
                <a:srgbClr val="203245"/>
              </a:solidFill>
              <a:prstDash val="solid"/>
            </a:ln>
          </c:spPr>
        </c:majorGridlines>
        <c:title>
          <c:tx>
            <c:rich>
              <a:bodyPr/>
              <a:lstStyle/>
              <a:p>
                <a:pPr>
                  <a:defRPr sz="900" baseline="0">
                    <a:solidFill>
                      <a:srgbClr val="D0D7DE"/>
                    </a:solidFill>
                  </a:defRPr>
                </a:pPr>
                <a:r>
                  <a:rPr lang="en-US" sz="900" baseline="0">
                    <a:solidFill>
                      <a:srgbClr val="D0D7DE"/>
                    </a:solidFill>
                  </a:rPr>
                  <a:t>Annual withdrawals</a:t>
                </a:r>
              </a:p>
            </c:rich>
          </c:tx>
          <c:overlay val="0"/>
        </c:title>
        <c:numFmt formatCode="\$#,##0" sourceLinked="0"/>
        <c:majorTickMark val="out"/>
        <c:minorTickMark val="none"/>
        <c:tickLblPos val="nextTo"/>
        <c:spPr>
          <a:ln>
            <a:noFill/>
            <a:prstDash val="solid"/>
          </a:ln>
        </c:spPr>
        <c:txPr>
          <a:bodyPr/>
          <a:lstStyle/>
          <a:p>
            <a:pPr>
              <a:defRPr sz="800" baseline="0">
                <a:solidFill>
                  <a:srgbClr val="A8B3C2"/>
                </a:solidFill>
              </a:defRPr>
            </a:pPr>
            <a:endParaRPr lang="en-US"/>
          </a:p>
        </c:txPr>
        <c:crossAx val="50020001"/>
        <c:crosses val="autoZero"/>
        <c:crossBetween val="between"/>
      </c:valAx>
      <c:spPr>
        <a:solidFill>
          <a:srgbClr val="0F1B2B"/>
        </a:solidFill>
      </c:spPr>
    </c:plotArea>
    <c:legend>
      <c:legendPos val="t"/>
      <c:overlay val="0"/>
      <c:txPr>
        <a:bodyPr/>
        <a:lstStyle/>
        <a:p>
          <a:pPr>
            <a:defRPr sz="900" baseline="0">
              <a:solidFill>
                <a:srgbClr val="D0D7DE"/>
              </a:solidFill>
            </a:defRPr>
          </a:pPr>
          <a:endParaRPr lang="en-US"/>
        </a:p>
      </c:txPr>
    </c:legend>
    <c:plotVisOnly val="1"/>
    <c:dispBlanksAs val="gap"/>
    <c:showDLblsOverMax val="1"/>
  </c:chart>
  <c:spPr>
    <a:solidFill>
      <a:srgbClr val="0F1B2B"/>
    </a:solidFill>
    <a:ln>
      <a:noFill/>
      <a:prstDash val="soli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sz="1200" b="1" baseline="0">
                <a:solidFill>
                  <a:srgbClr val="FFFFFF"/>
                </a:solidFill>
              </a:defRPr>
            </a:pPr>
            <a:r>
              <a:rPr lang="en-US" sz="1200" b="1" baseline="0">
                <a:solidFill>
                  <a:srgbClr val="FFFFFF"/>
                </a:solidFill>
              </a:rPr>
              <a:t>Current Asset Allocation</a:t>
            </a:r>
          </a:p>
        </c:rich>
      </c:tx>
      <c:overlay val="0"/>
    </c:title>
    <c:autoTitleDeleted val="0"/>
    <c:plotArea>
      <c:layout/>
      <c:doughnutChart>
        <c:varyColors val="1"/>
        <c:ser>
          <c:idx val="0"/>
          <c:order val="0"/>
          <c:spPr>
            <a:ln>
              <a:noFill/>
              <a:prstDash val="solid"/>
            </a:ln>
          </c:spPr>
          <c:dPt>
            <c:idx val="0"/>
            <c:bubble3D val="0"/>
            <c:spPr>
              <a:solidFill>
                <a:srgbClr val="2ECC71"/>
              </a:solidFill>
              <a:ln>
                <a:prstDash val="solid"/>
              </a:ln>
            </c:spPr>
            <c:extLst>
              <c:ext xmlns:c16="http://schemas.microsoft.com/office/drawing/2014/chart" uri="{C3380CC4-5D6E-409C-BE32-E72D297353CC}">
                <c16:uniqueId val="{00000001-E97E-40B6-A210-7EC398240639}"/>
              </c:ext>
            </c:extLst>
          </c:dPt>
          <c:dPt>
            <c:idx val="1"/>
            <c:bubble3D val="0"/>
            <c:spPr>
              <a:solidFill>
                <a:srgbClr val="3498DB"/>
              </a:solidFill>
              <a:ln>
                <a:prstDash val="solid"/>
              </a:ln>
            </c:spPr>
            <c:extLst>
              <c:ext xmlns:c16="http://schemas.microsoft.com/office/drawing/2014/chart" uri="{C3380CC4-5D6E-409C-BE32-E72D297353CC}">
                <c16:uniqueId val="{00000003-E97E-40B6-A210-7EC398240639}"/>
              </c:ext>
            </c:extLst>
          </c:dPt>
          <c:dPt>
            <c:idx val="2"/>
            <c:bubble3D val="0"/>
            <c:spPr>
              <a:solidFill>
                <a:srgbClr val="9B59B6"/>
              </a:solidFill>
              <a:ln>
                <a:prstDash val="solid"/>
              </a:ln>
            </c:spPr>
            <c:extLst>
              <c:ext xmlns:c16="http://schemas.microsoft.com/office/drawing/2014/chart" uri="{C3380CC4-5D6E-409C-BE32-E72D297353CC}">
                <c16:uniqueId val="{00000005-E97E-40B6-A210-7EC398240639}"/>
              </c:ext>
            </c:extLst>
          </c:dPt>
          <c:dPt>
            <c:idx val="3"/>
            <c:bubble3D val="0"/>
            <c:spPr>
              <a:solidFill>
                <a:srgbClr val="E67E22"/>
              </a:solidFill>
              <a:ln>
                <a:prstDash val="solid"/>
              </a:ln>
            </c:spPr>
            <c:extLst>
              <c:ext xmlns:c16="http://schemas.microsoft.com/office/drawing/2014/chart" uri="{C3380CC4-5D6E-409C-BE32-E72D297353CC}">
                <c16:uniqueId val="{00000007-E97E-40B6-A210-7EC398240639}"/>
              </c:ext>
            </c:extLst>
          </c:dPt>
          <c:dPt>
            <c:idx val="4"/>
            <c:bubble3D val="0"/>
            <c:spPr>
              <a:solidFill>
                <a:srgbClr val="1ABC9C"/>
              </a:solidFill>
              <a:ln>
                <a:prstDash val="solid"/>
              </a:ln>
            </c:spPr>
            <c:extLst>
              <c:ext xmlns:c16="http://schemas.microsoft.com/office/drawing/2014/chart" uri="{C3380CC4-5D6E-409C-BE32-E72D297353CC}">
                <c16:uniqueId val="{00000009-E97E-40B6-A210-7EC398240639}"/>
              </c:ext>
            </c:extLst>
          </c:dPt>
          <c:dPt>
            <c:idx val="5"/>
            <c:bubble3D val="0"/>
            <c:spPr>
              <a:solidFill>
                <a:srgbClr val="E74C3C"/>
              </a:solidFill>
              <a:ln>
                <a:prstDash val="solid"/>
              </a:ln>
            </c:spPr>
            <c:extLst>
              <c:ext xmlns:c16="http://schemas.microsoft.com/office/drawing/2014/chart" uri="{C3380CC4-5D6E-409C-BE32-E72D297353CC}">
                <c16:uniqueId val="{0000000B-E97E-40B6-A210-7EC398240639}"/>
              </c:ext>
            </c:extLst>
          </c:dPt>
          <c:dLbls>
            <c:spPr>
              <a:noFill/>
              <a:ln>
                <a:noFill/>
                <a:prstDash val="solid"/>
              </a:ln>
            </c:spPr>
            <c:txPr>
              <a:bodyPr/>
              <a:lstStyle/>
              <a:p>
                <a:pPr>
                  <a:defRPr sz="900" b="1" baseline="0">
                    <a:solidFill>
                      <a:srgbClr val="FFFFFF"/>
                    </a:solidFill>
                  </a:defRPr>
                </a:pPr>
                <a:endParaRPr lang="en-US"/>
              </a:p>
            </c:txPr>
            <c:showLegendKey val="0"/>
            <c:showVal val="0"/>
            <c:showCatName val="0"/>
            <c:showSerName val="0"/>
            <c:showPercent val="1"/>
            <c:showBubbleSize val="0"/>
            <c:showLeaderLines val="1"/>
            <c:extLst>
              <c:ext xmlns:c15="http://schemas.microsoft.com/office/drawing/2012/chart" uri="{CE6537A1-D6FC-4f65-9D91-7224C49458BB}"/>
            </c:extLst>
          </c:dLbls>
          <c:cat>
            <c:strRef>
              <c:f>Assets!$B$3:$B$6</c:f>
              <c:strCache>
                <c:ptCount val="4"/>
                <c:pt idx="0">
                  <c:v>Brokerage</c:v>
                </c:pt>
                <c:pt idx="1">
                  <c:v>401k</c:v>
                </c:pt>
                <c:pt idx="2">
                  <c:v>Roth IRA</c:v>
                </c:pt>
                <c:pt idx="3">
                  <c:v>Cash</c:v>
                </c:pt>
              </c:strCache>
            </c:strRef>
          </c:cat>
          <c:val>
            <c:numRef>
              <c:f>Assets!$C$3:$C$6</c:f>
              <c:numCache>
                <c:formatCode>_("$"* #,##0_);_("$"* \(#,##0\);_("$"* "-"??_);_(@_)</c:formatCode>
                <c:ptCount val="4"/>
                <c:pt idx="0">
                  <c:v>75000</c:v>
                </c:pt>
                <c:pt idx="1">
                  <c:v>200000</c:v>
                </c:pt>
                <c:pt idx="2">
                  <c:v>50000</c:v>
                </c:pt>
                <c:pt idx="3">
                  <c:v>20000</c:v>
                </c:pt>
              </c:numCache>
            </c:numRef>
          </c:val>
          <c:extLst>
            <c:ext xmlns:c16="http://schemas.microsoft.com/office/drawing/2014/chart" uri="{C3380CC4-5D6E-409C-BE32-E72D297353CC}">
              <c16:uniqueId val="{0000000C-E97E-40B6-A210-7EC398240639}"/>
            </c:ext>
          </c:extLst>
        </c:ser>
        <c:dLbls>
          <c:showLegendKey val="0"/>
          <c:showVal val="0"/>
          <c:showCatName val="0"/>
          <c:showSerName val="0"/>
          <c:showPercent val="0"/>
          <c:showBubbleSize val="0"/>
          <c:showLeaderLines val="1"/>
        </c:dLbls>
        <c:firstSliceAng val="0"/>
        <c:holeSize val="62"/>
      </c:doughnutChart>
    </c:plotArea>
    <c:legend>
      <c:legendPos val="t"/>
      <c:overlay val="0"/>
      <c:txPr>
        <a:bodyPr/>
        <a:lstStyle/>
        <a:p>
          <a:pPr rtl="0">
            <a:defRPr sz="900" baseline="0">
              <a:solidFill>
                <a:srgbClr val="D0D7DE"/>
              </a:solidFill>
            </a:defRPr>
          </a:pPr>
          <a:endParaRPr lang="en-US"/>
        </a:p>
      </c:txPr>
    </c:legend>
    <c:plotVisOnly val="1"/>
    <c:dispBlanksAs val="gap"/>
    <c:showDLblsOverMax val="1"/>
  </c:chart>
  <c:spPr>
    <a:solidFill>
      <a:srgbClr val="0F1B2B"/>
    </a:solidFill>
    <a:ln>
      <a:noFill/>
      <a:prstDash val="soli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sz="1200" b="1" baseline="0">
                <a:solidFill>
                  <a:srgbClr val="FFFFFF"/>
                </a:solidFill>
              </a:defRPr>
            </a:pPr>
            <a:r>
              <a:rPr lang="en-US" sz="1200" b="1" baseline="0">
                <a:solidFill>
                  <a:srgbClr val="FFFFFF"/>
                </a:solidFill>
              </a:rPr>
              <a:t>Annual Savings Rate Trend</a:t>
            </a:r>
          </a:p>
        </c:rich>
      </c:tx>
      <c:overlay val="0"/>
    </c:title>
    <c:autoTitleDeleted val="0"/>
    <c:plotArea>
      <c:layout/>
      <c:lineChart>
        <c:grouping val="standard"/>
        <c:varyColors val="0"/>
        <c:ser>
          <c:idx val="0"/>
          <c:order val="0"/>
          <c:tx>
            <c:v>Savings Rate</c:v>
          </c:tx>
          <c:spPr>
            <a:ln w="31750">
              <a:solidFill>
                <a:srgbClr val="F39C12"/>
              </a:solidFill>
              <a:prstDash val="solid"/>
            </a:ln>
          </c:spPr>
          <c:marker>
            <c:symbol val="none"/>
          </c:marker>
          <c:cat>
            <c:numRef>
              <c:f>Projection!$A$3:$A$83</c:f>
              <c:numCache>
                <c:formatCode>General</c:formatCode>
                <c:ptCount val="81"/>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pt idx="57">
                  <c:v>2081</c:v>
                </c:pt>
                <c:pt idx="58">
                  <c:v>2082</c:v>
                </c:pt>
                <c:pt idx="59">
                  <c:v>2083</c:v>
                </c:pt>
                <c:pt idx="60">
                  <c:v>2084</c:v>
                </c:pt>
                <c:pt idx="61">
                  <c:v>2085</c:v>
                </c:pt>
                <c:pt idx="62">
                  <c:v>2086</c:v>
                </c:pt>
                <c:pt idx="63">
                  <c:v>2087</c:v>
                </c:pt>
                <c:pt idx="64">
                  <c:v>2088</c:v>
                </c:pt>
                <c:pt idx="65">
                  <c:v>2089</c:v>
                </c:pt>
                <c:pt idx="66">
                  <c:v>2090</c:v>
                </c:pt>
                <c:pt idx="67">
                  <c:v>2091</c:v>
                </c:pt>
                <c:pt idx="68">
                  <c:v>2092</c:v>
                </c:pt>
                <c:pt idx="69">
                  <c:v>2093</c:v>
                </c:pt>
                <c:pt idx="70">
                  <c:v>2094</c:v>
                </c:pt>
                <c:pt idx="71">
                  <c:v>2095</c:v>
                </c:pt>
                <c:pt idx="72">
                  <c:v>2096</c:v>
                </c:pt>
                <c:pt idx="73">
                  <c:v>2097</c:v>
                </c:pt>
                <c:pt idx="74">
                  <c:v>2098</c:v>
                </c:pt>
                <c:pt idx="75">
                  <c:v>2099</c:v>
                </c:pt>
                <c:pt idx="76">
                  <c:v>2100</c:v>
                </c:pt>
                <c:pt idx="77">
                  <c:v>2101</c:v>
                </c:pt>
                <c:pt idx="78">
                  <c:v>2102</c:v>
                </c:pt>
                <c:pt idx="79">
                  <c:v>2103</c:v>
                </c:pt>
                <c:pt idx="80">
                  <c:v>2104</c:v>
                </c:pt>
              </c:numCache>
            </c:numRef>
          </c:cat>
          <c:val>
            <c:numRef>
              <c:f>Projection!$V$3:$V$83</c:f>
              <c:numCache>
                <c:formatCode>0.0%</c:formatCode>
                <c:ptCount val="81"/>
                <c:pt idx="0">
                  <c:v>0.45935172413793102</c:v>
                </c:pt>
                <c:pt idx="1">
                  <c:v>0.46090074962518734</c:v>
                </c:pt>
                <c:pt idx="2">
                  <c:v>0.4624422918975295</c:v>
                </c:pt>
                <c:pt idx="3">
                  <c:v>0.46397638710575395</c:v>
                </c:pt>
                <c:pt idx="4">
                  <c:v>0.37621500266197355</c:v>
                </c:pt>
                <c:pt idx="5">
                  <c:v>0.37816565482302694</c:v>
                </c:pt>
                <c:pt idx="6">
                  <c:v>0.38010688354368843</c:v>
                </c:pt>
                <c:pt idx="7">
                  <c:v>0.38319873803703147</c:v>
                </c:pt>
                <c:pt idx="8">
                  <c:v>0.38511565234603123</c:v>
                </c:pt>
                <c:pt idx="9">
                  <c:v>0.38702330619943204</c:v>
                </c:pt>
                <c:pt idx="10">
                  <c:v>0.46185468515859224</c:v>
                </c:pt>
                <c:pt idx="11">
                  <c:v>0.463391619046715</c:v>
                </c:pt>
                <c:pt idx="12">
                  <c:v>0.46492112813344588</c:v>
                </c:pt>
                <c:pt idx="13">
                  <c:v>0.46644324828739064</c:v>
                </c:pt>
                <c:pt idx="14">
                  <c:v>0.46795801520387659</c:v>
                </c:pt>
                <c:pt idx="15">
                  <c:v>0.46946546440579023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smooth val="0"/>
          <c:extLst>
            <c:ext xmlns:c16="http://schemas.microsoft.com/office/drawing/2014/chart" uri="{C3380CC4-5D6E-409C-BE32-E72D297353CC}">
              <c16:uniqueId val="{00000000-96CE-438C-805B-C9D81A5DB269}"/>
            </c:ext>
          </c:extLst>
        </c:ser>
        <c:dLbls>
          <c:showLegendKey val="0"/>
          <c:showVal val="0"/>
          <c:showCatName val="0"/>
          <c:showSerName val="0"/>
          <c:showPercent val="0"/>
          <c:showBubbleSize val="0"/>
        </c:dLbls>
        <c:smooth val="0"/>
        <c:axId val="50040001"/>
        <c:axId val="50040002"/>
      </c:lineChart>
      <c:catAx>
        <c:axId val="50040001"/>
        <c:scaling>
          <c:orientation val="minMax"/>
        </c:scaling>
        <c:delete val="0"/>
        <c:axPos val="b"/>
        <c:title>
          <c:tx>
            <c:rich>
              <a:bodyPr/>
              <a:lstStyle/>
              <a:p>
                <a:pPr>
                  <a:defRPr sz="900" baseline="0">
                    <a:solidFill>
                      <a:srgbClr val="D0D7DE"/>
                    </a:solidFill>
                  </a:defRPr>
                </a:pPr>
                <a:r>
                  <a:rPr lang="en-US" sz="900" baseline="0">
                    <a:solidFill>
                      <a:srgbClr val="D0D7DE"/>
                    </a:solidFill>
                  </a:rPr>
                  <a:t>Calendar year</a:t>
                </a:r>
              </a:p>
            </c:rich>
          </c:tx>
          <c:overlay val="0"/>
        </c:title>
        <c:numFmt formatCode="General" sourceLinked="1"/>
        <c:majorTickMark val="out"/>
        <c:minorTickMark val="none"/>
        <c:tickLblPos val="low"/>
        <c:spPr>
          <a:ln>
            <a:solidFill>
              <a:srgbClr val="425466"/>
            </a:solidFill>
            <a:prstDash val="solid"/>
          </a:ln>
        </c:spPr>
        <c:txPr>
          <a:bodyPr/>
          <a:lstStyle/>
          <a:p>
            <a:pPr>
              <a:defRPr sz="800" baseline="0">
                <a:solidFill>
                  <a:srgbClr val="A8B3C2"/>
                </a:solidFill>
              </a:defRPr>
            </a:pPr>
            <a:endParaRPr lang="en-US"/>
          </a:p>
        </c:txPr>
        <c:crossAx val="50040002"/>
        <c:crosses val="autoZero"/>
        <c:auto val="1"/>
        <c:lblAlgn val="ctr"/>
        <c:lblOffset val="100"/>
        <c:noMultiLvlLbl val="0"/>
      </c:catAx>
      <c:valAx>
        <c:axId val="50040002"/>
        <c:scaling>
          <c:orientation val="minMax"/>
          <c:max val="1"/>
          <c:min val="-0.2"/>
        </c:scaling>
        <c:delete val="0"/>
        <c:axPos val="l"/>
        <c:majorGridlines>
          <c:spPr>
            <a:ln w="9525">
              <a:solidFill>
                <a:srgbClr val="0F1B2B"/>
              </a:solidFill>
              <a:prstDash val="solid"/>
            </a:ln>
          </c:spPr>
        </c:majorGridlines>
        <c:title>
          <c:tx>
            <c:rich>
              <a:bodyPr rot="-5400000" vert="horz"/>
              <a:lstStyle/>
              <a:p>
                <a:pPr>
                  <a:defRPr sz="900" baseline="0">
                    <a:solidFill>
                      <a:srgbClr val="D0D7DE"/>
                    </a:solidFill>
                  </a:defRPr>
                </a:pPr>
                <a:r>
                  <a:rPr lang="en-US" sz="900" baseline="0">
                    <a:solidFill>
                      <a:srgbClr val="D0D7DE"/>
                    </a:solidFill>
                  </a:rPr>
                  <a:t>Savings rate</a:t>
                </a:r>
              </a:p>
            </c:rich>
          </c:tx>
          <c:overlay val="0"/>
        </c:title>
        <c:numFmt formatCode="0.0%" sourceLinked="0"/>
        <c:majorTickMark val="out"/>
        <c:minorTickMark val="none"/>
        <c:tickLblPos val="nextTo"/>
        <c:spPr>
          <a:ln>
            <a:noFill/>
            <a:prstDash val="solid"/>
          </a:ln>
        </c:spPr>
        <c:txPr>
          <a:bodyPr/>
          <a:lstStyle/>
          <a:p>
            <a:pPr>
              <a:defRPr sz="800" baseline="0">
                <a:solidFill>
                  <a:srgbClr val="A8B3C2"/>
                </a:solidFill>
              </a:defRPr>
            </a:pPr>
            <a:endParaRPr lang="en-US"/>
          </a:p>
        </c:txPr>
        <c:crossAx val="50040001"/>
        <c:crosses val="autoZero"/>
        <c:crossBetween val="between"/>
      </c:valAx>
      <c:spPr>
        <a:solidFill>
          <a:srgbClr val="0F1B2B"/>
        </a:solidFill>
      </c:spPr>
    </c:plotArea>
    <c:legend>
      <c:legendPos val="t"/>
      <c:overlay val="0"/>
      <c:txPr>
        <a:bodyPr/>
        <a:lstStyle/>
        <a:p>
          <a:pPr>
            <a:defRPr sz="900" baseline="0">
              <a:solidFill>
                <a:srgbClr val="D0D7DE"/>
              </a:solidFill>
            </a:defRPr>
          </a:pPr>
          <a:endParaRPr lang="en-US"/>
        </a:p>
      </c:txPr>
    </c:legend>
    <c:plotVisOnly val="1"/>
    <c:dispBlanksAs val="gap"/>
    <c:showDLblsOverMax val="1"/>
  </c:chart>
  <c:spPr>
    <a:solidFill>
      <a:srgbClr val="0F1B2B"/>
    </a:solidFill>
    <a:ln>
      <a:noFill/>
      <a:prstDash val="soli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sz="1200" b="1" baseline="0">
                <a:solidFill>
                  <a:srgbClr val="FFFFFF"/>
                </a:solidFill>
              </a:defRPr>
            </a:pPr>
            <a:r>
              <a:rPr lang="en-US" sz="1200" b="1" baseline="0">
                <a:solidFill>
                  <a:srgbClr val="FFFFFF"/>
                </a:solidFill>
              </a:rPr>
              <a:t>FI Progress Snapshot</a:t>
            </a:r>
          </a:p>
        </c:rich>
      </c:tx>
      <c:overlay val="0"/>
    </c:title>
    <c:autoTitleDeleted val="0"/>
    <c:plotArea>
      <c:layout/>
      <c:barChart>
        <c:barDir val="bar"/>
        <c:grouping val="stacked"/>
        <c:varyColors val="0"/>
        <c:ser>
          <c:idx val="0"/>
          <c:order val="0"/>
          <c:tx>
            <c:v>Progress to FI</c:v>
          </c:tx>
          <c:spPr>
            <a:ln>
              <a:noFill/>
              <a:prstDash val="solid"/>
            </a:ln>
          </c:spPr>
          <c:invertIfNegative val="0"/>
          <c:dPt>
            <c:idx val="0"/>
            <c:invertIfNegative val="0"/>
            <c:bubble3D val="0"/>
            <c:spPr>
              <a:solidFill>
                <a:srgbClr val="2ECC71"/>
              </a:solidFill>
              <a:ln>
                <a:prstDash val="solid"/>
              </a:ln>
            </c:spPr>
            <c:extLst>
              <c:ext xmlns:c16="http://schemas.microsoft.com/office/drawing/2014/chart" uri="{C3380CC4-5D6E-409C-BE32-E72D297353CC}">
                <c16:uniqueId val="{00000001-F4A2-4889-8444-28AEDDBC62DB}"/>
              </c:ext>
            </c:extLst>
          </c:dPt>
          <c:dPt>
            <c:idx val="1"/>
            <c:invertIfNegative val="0"/>
            <c:bubble3D val="0"/>
            <c:spPr>
              <a:ln>
                <a:prstDash val="solid"/>
              </a:ln>
            </c:spPr>
            <c:extLst>
              <c:ext xmlns:c16="http://schemas.microsoft.com/office/drawing/2014/chart" uri="{C3380CC4-5D6E-409C-BE32-E72D297353CC}">
                <c16:uniqueId val="{00000003-F4A2-4889-8444-28AEDDBC62DB}"/>
              </c:ext>
            </c:extLst>
          </c:dPt>
          <c:dLbls>
            <c:spPr>
              <a:noFill/>
              <a:ln>
                <a:noFill/>
                <a:prstDash val="solid"/>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_helpers!$A$2:$A$3</c:f>
              <c:strCache>
                <c:ptCount val="2"/>
                <c:pt idx="0">
                  <c:v>Current Assets</c:v>
                </c:pt>
                <c:pt idx="1">
                  <c:v>Remaining Gap</c:v>
                </c:pt>
              </c:strCache>
            </c:strRef>
          </c:cat>
          <c:val>
            <c:numRef>
              <c:f>_helpers!$B$2:$B$3</c:f>
              <c:numCache>
                <c:formatCode>0%</c:formatCode>
                <c:ptCount val="2"/>
                <c:pt idx="0">
                  <c:v>0.223684776530305</c:v>
                </c:pt>
                <c:pt idx="1">
                  <c:v>0.77631522346969506</c:v>
                </c:pt>
              </c:numCache>
            </c:numRef>
          </c:val>
          <c:extLst>
            <c:ext xmlns:c16="http://schemas.microsoft.com/office/drawing/2014/chart" uri="{C3380CC4-5D6E-409C-BE32-E72D297353CC}">
              <c16:uniqueId val="{00000004-F4A2-4889-8444-28AEDDBC62DB}"/>
            </c:ext>
          </c:extLst>
        </c:ser>
        <c:dLbls>
          <c:showLegendKey val="0"/>
          <c:showVal val="0"/>
          <c:showCatName val="0"/>
          <c:showSerName val="0"/>
          <c:showPercent val="0"/>
          <c:showBubbleSize val="0"/>
        </c:dLbls>
        <c:gapWidth val="150"/>
        <c:overlap val="100"/>
        <c:axId val="50050001"/>
        <c:axId val="50050002"/>
      </c:barChart>
      <c:catAx>
        <c:axId val="50050001"/>
        <c:scaling>
          <c:orientation val="minMax"/>
        </c:scaling>
        <c:delete val="0"/>
        <c:axPos val="l"/>
        <c:numFmt formatCode="0%" sourceLinked="0"/>
        <c:majorTickMark val="out"/>
        <c:minorTickMark val="none"/>
        <c:tickLblPos val="nextTo"/>
        <c:txPr>
          <a:bodyPr/>
          <a:lstStyle/>
          <a:p>
            <a:pPr>
              <a:defRPr sz="800" baseline="0">
                <a:solidFill>
                  <a:srgbClr val="A8B3C2"/>
                </a:solidFill>
              </a:defRPr>
            </a:pPr>
            <a:endParaRPr lang="en-US"/>
          </a:p>
        </c:txPr>
        <c:crossAx val="50050002"/>
        <c:crosses val="autoZero"/>
        <c:auto val="1"/>
        <c:lblAlgn val="ctr"/>
        <c:lblOffset val="100"/>
        <c:noMultiLvlLbl val="0"/>
      </c:catAx>
      <c:valAx>
        <c:axId val="50050002"/>
        <c:scaling>
          <c:orientation val="minMax"/>
        </c:scaling>
        <c:delete val="0"/>
        <c:axPos val="b"/>
        <c:numFmt formatCode="0%" sourceLinked="1"/>
        <c:majorTickMark val="out"/>
        <c:minorTickMark val="none"/>
        <c:tickLblPos val="nextTo"/>
        <c:txPr>
          <a:bodyPr/>
          <a:lstStyle/>
          <a:p>
            <a:pPr>
              <a:defRPr sz="800" baseline="0">
                <a:solidFill>
                  <a:srgbClr val="A8B3C2"/>
                </a:solidFill>
              </a:defRPr>
            </a:pPr>
            <a:endParaRPr lang="en-US"/>
          </a:p>
        </c:txPr>
        <c:crossAx val="50050001"/>
        <c:crosses val="autoZero"/>
        <c:crossBetween val="between"/>
      </c:valAx>
      <c:spPr>
        <a:solidFill>
          <a:srgbClr val="0F1B2B"/>
        </a:solidFill>
      </c:spPr>
    </c:plotArea>
    <c:plotVisOnly val="1"/>
    <c:dispBlanksAs val="gap"/>
    <c:showDLblsOverMax val="1"/>
  </c:chart>
  <c:spPr>
    <a:solidFill>
      <a:srgbClr val="0F1B2B"/>
    </a:solidFill>
    <a:ln>
      <a:no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9525</xdr:rowOff>
    </xdr:from>
    <xdr:to>
      <xdr:col>0</xdr:col>
      <xdr:colOff>885337</xdr:colOff>
      <xdr:row>1</xdr:row>
      <xdr:rowOff>383251</xdr:rowOff>
    </xdr:to>
    <xdr:pic>
      <xdr:nvPicPr>
        <xdr:cNvPr id="2" name="Picture 1" descr="NJL_logo.png">
          <a:extLst>
            <a:ext uri="{FF2B5EF4-FFF2-40B4-BE49-F238E27FC236}">
              <a16:creationId xmlns:a16="http://schemas.microsoft.com/office/drawing/2014/main" id="{59304F24-281B-45C4-B570-EFCECC5C56A8}"/>
            </a:ext>
          </a:extLst>
        </xdr:cNvPr>
        <xdr:cNvPicPr>
          <a:picLocks noChangeAspect="1"/>
        </xdr:cNvPicPr>
      </xdr:nvPicPr>
      <xdr:blipFill rotWithShape="1">
        <a:blip xmlns:r="http://schemas.openxmlformats.org/officeDocument/2006/relationships" r:embed="rId1"/>
        <a:srcRect l="9580" t="21766" r="19628" b="30883"/>
        <a:stretch>
          <a:fillRect/>
        </a:stretch>
      </xdr:blipFill>
      <xdr:spPr>
        <a:xfrm>
          <a:off x="0" y="9525"/>
          <a:ext cx="885337" cy="373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1749</xdr:colOff>
      <xdr:row>9</xdr:row>
      <xdr:rowOff>44450</xdr:rowOff>
    </xdr:from>
    <xdr:to>
      <xdr:col>7</xdr:col>
      <xdr:colOff>1012161</xdr:colOff>
      <xdr:row>27</xdr:row>
      <xdr:rowOff>75513</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36210</xdr:colOff>
      <xdr:row>9</xdr:row>
      <xdr:rowOff>50581</xdr:rowOff>
    </xdr:from>
    <xdr:to>
      <xdr:col>16</xdr:col>
      <xdr:colOff>17922</xdr:colOff>
      <xdr:row>27</xdr:row>
      <xdr:rowOff>68107</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75509</xdr:colOff>
      <xdr:row>27</xdr:row>
      <xdr:rowOff>145834</xdr:rowOff>
    </xdr:from>
    <xdr:to>
      <xdr:col>5</xdr:col>
      <xdr:colOff>364100</xdr:colOff>
      <xdr:row>48</xdr:row>
      <xdr:rowOff>68960</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407265</xdr:colOff>
      <xdr:row>27</xdr:row>
      <xdr:rowOff>142875</xdr:rowOff>
    </xdr:from>
    <xdr:to>
      <xdr:col>10</xdr:col>
      <xdr:colOff>695518</xdr:colOff>
      <xdr:row>48</xdr:row>
      <xdr:rowOff>64643</xdr:rowOff>
    </xdr:to>
    <xdr:graphicFrame macro="">
      <xdr:nvGraphicFramePr>
        <xdr:cNvPr id="5" name="Chart 4">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741351</xdr:colOff>
      <xdr:row>27</xdr:row>
      <xdr:rowOff>139914</xdr:rowOff>
    </xdr:from>
    <xdr:to>
      <xdr:col>15</xdr:col>
      <xdr:colOff>1016156</xdr:colOff>
      <xdr:row>48</xdr:row>
      <xdr:rowOff>55332</xdr:rowOff>
    </xdr:to>
    <xdr:graphicFrame macro="">
      <xdr:nvGraphicFramePr>
        <xdr:cNvPr id="6" name="Chart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40821</xdr:colOff>
      <xdr:row>0</xdr:row>
      <xdr:rowOff>40822</xdr:rowOff>
    </xdr:from>
    <xdr:to>
      <xdr:col>1</xdr:col>
      <xdr:colOff>936171</xdr:colOff>
      <xdr:row>3</xdr:row>
      <xdr:rowOff>207775</xdr:rowOff>
    </xdr:to>
    <xdr:pic>
      <xdr:nvPicPr>
        <xdr:cNvPr id="7" name="Picture 6" descr="NJL_logo.png">
          <a:extLst>
            <a:ext uri="{FF2B5EF4-FFF2-40B4-BE49-F238E27FC236}">
              <a16:creationId xmlns:a16="http://schemas.microsoft.com/office/drawing/2014/main" id="{D93E4F9E-85EC-4314-9DCD-D28239C7D9C6}"/>
            </a:ext>
          </a:extLst>
        </xdr:cNvPr>
        <xdr:cNvPicPr>
          <a:picLocks noChangeAspect="1"/>
        </xdr:cNvPicPr>
      </xdr:nvPicPr>
      <xdr:blipFill>
        <a:blip xmlns:r="http://schemas.openxmlformats.org/officeDocument/2006/relationships" r:embed="rId6"/>
        <a:stretch>
          <a:fillRect/>
        </a:stretch>
      </xdr:blipFill>
      <xdr:spPr>
        <a:xfrm>
          <a:off x="40821" y="40822"/>
          <a:ext cx="1929493" cy="12283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
  <sheetViews>
    <sheetView showGridLines="0" tabSelected="1" zoomScaleNormal="100" workbookViewId="0">
      <pane ySplit="1" topLeftCell="A2" activePane="bottomLeft" state="frozen"/>
      <selection pane="bottomLeft" activeCell="I11" sqref="I11"/>
    </sheetView>
  </sheetViews>
  <sheetFormatPr defaultRowHeight="14.5" x14ac:dyDescent="0.35"/>
  <cols>
    <col min="1" max="7" width="20.7265625" customWidth="1"/>
  </cols>
  <sheetData>
    <row r="1" spans="1:7" hidden="1" x14ac:dyDescent="0.35">
      <c r="A1" s="17">
        <v>0</v>
      </c>
      <c r="B1" s="17">
        <v>1</v>
      </c>
      <c r="C1" s="17">
        <v>2</v>
      </c>
      <c r="D1" s="17">
        <v>3</v>
      </c>
      <c r="E1" s="17">
        <v>4</v>
      </c>
      <c r="F1" s="17">
        <v>5</v>
      </c>
      <c r="G1" s="17">
        <v>6</v>
      </c>
    </row>
    <row r="2" spans="1:7" ht="31" customHeight="1" x14ac:dyDescent="0.45">
      <c r="A2" s="57" t="s">
        <v>10</v>
      </c>
      <c r="B2" s="58"/>
      <c r="C2" s="58"/>
      <c r="D2" s="58"/>
      <c r="E2" s="58"/>
      <c r="F2" s="58"/>
      <c r="G2" s="58"/>
    </row>
    <row r="3" spans="1:7" ht="20.5" customHeight="1" x14ac:dyDescent="0.35">
      <c r="A3" s="26" t="s">
        <v>11</v>
      </c>
      <c r="B3" s="25"/>
      <c r="C3" s="25"/>
      <c r="D3" s="25"/>
      <c r="E3" s="25"/>
      <c r="F3" s="25"/>
      <c r="G3" s="25"/>
    </row>
    <row r="4" spans="1:7" x14ac:dyDescent="0.35">
      <c r="A4" t="s">
        <v>12</v>
      </c>
    </row>
    <row r="5" spans="1:7" x14ac:dyDescent="0.35">
      <c r="A5" t="s">
        <v>13</v>
      </c>
    </row>
    <row r="6" spans="1:7" x14ac:dyDescent="0.35">
      <c r="A6" t="s">
        <v>14</v>
      </c>
    </row>
    <row r="7" spans="1:7" x14ac:dyDescent="0.35">
      <c r="A7" t="s">
        <v>15</v>
      </c>
    </row>
    <row r="8" spans="1:7" x14ac:dyDescent="0.35">
      <c r="A8" t="s">
        <v>16</v>
      </c>
    </row>
    <row r="9" spans="1:7" x14ac:dyDescent="0.35">
      <c r="A9" t="s">
        <v>17</v>
      </c>
    </row>
    <row r="11" spans="1:7" ht="20.5" customHeight="1" x14ac:dyDescent="0.35">
      <c r="A11" s="26" t="s">
        <v>18</v>
      </c>
      <c r="B11" s="25"/>
      <c r="C11" s="25"/>
      <c r="D11" s="25"/>
      <c r="E11" s="25"/>
      <c r="F11" s="25"/>
      <c r="G11" s="25"/>
    </row>
    <row r="12" spans="1:7" x14ac:dyDescent="0.35">
      <c r="A12" t="s">
        <v>19</v>
      </c>
    </row>
    <row r="13" spans="1:7" x14ac:dyDescent="0.35">
      <c r="A13" t="s">
        <v>20</v>
      </c>
    </row>
    <row r="14" spans="1:7" x14ac:dyDescent="0.35">
      <c r="A14" t="s">
        <v>21</v>
      </c>
    </row>
    <row r="15" spans="1:7" x14ac:dyDescent="0.35">
      <c r="A15" t="s">
        <v>22</v>
      </c>
    </row>
    <row r="16" spans="1:7" x14ac:dyDescent="0.35">
      <c r="A16" t="s">
        <v>23</v>
      </c>
    </row>
    <row r="17" spans="1:7" x14ac:dyDescent="0.35">
      <c r="A17" t="s">
        <v>24</v>
      </c>
    </row>
    <row r="18" spans="1:7" x14ac:dyDescent="0.35">
      <c r="A18" t="s">
        <v>25</v>
      </c>
    </row>
    <row r="19" spans="1:7" x14ac:dyDescent="0.35">
      <c r="A19" t="s">
        <v>26</v>
      </c>
    </row>
    <row r="21" spans="1:7" ht="20.5" customHeight="1" x14ac:dyDescent="0.35">
      <c r="A21" s="26" t="s">
        <v>27</v>
      </c>
      <c r="B21" s="25"/>
      <c r="C21" s="25"/>
      <c r="D21" s="25"/>
      <c r="E21" s="25"/>
      <c r="F21" s="25"/>
      <c r="G21" s="25"/>
    </row>
    <row r="22" spans="1:7" x14ac:dyDescent="0.35">
      <c r="A22" t="s">
        <v>28</v>
      </c>
    </row>
    <row r="23" spans="1:7" x14ac:dyDescent="0.35">
      <c r="A23" t="s">
        <v>29</v>
      </c>
    </row>
    <row r="24" spans="1:7" x14ac:dyDescent="0.35">
      <c r="A24" t="s">
        <v>30</v>
      </c>
    </row>
    <row r="25" spans="1:7" x14ac:dyDescent="0.35">
      <c r="A25" t="s">
        <v>31</v>
      </c>
    </row>
    <row r="26" spans="1:7" x14ac:dyDescent="0.35">
      <c r="A26" t="s">
        <v>32</v>
      </c>
    </row>
    <row r="27" spans="1:7" x14ac:dyDescent="0.35">
      <c r="A27" t="s">
        <v>33</v>
      </c>
    </row>
    <row r="28" spans="1:7" x14ac:dyDescent="0.35">
      <c r="A28" t="s">
        <v>34</v>
      </c>
    </row>
    <row r="29" spans="1:7" x14ac:dyDescent="0.35">
      <c r="A29" t="s">
        <v>35</v>
      </c>
    </row>
    <row r="30" spans="1:7" x14ac:dyDescent="0.35">
      <c r="A30" t="s">
        <v>36</v>
      </c>
    </row>
    <row r="31" spans="1:7" x14ac:dyDescent="0.35">
      <c r="A31" t="s">
        <v>37</v>
      </c>
    </row>
    <row r="33" spans="1:7" ht="20.5" customHeight="1" x14ac:dyDescent="0.35">
      <c r="A33" s="26" t="s">
        <v>38</v>
      </c>
      <c r="B33" s="25"/>
      <c r="C33" s="25"/>
      <c r="D33" s="25"/>
      <c r="E33" s="25"/>
      <c r="F33" s="25"/>
      <c r="G33" s="25"/>
    </row>
    <row r="34" spans="1:7" x14ac:dyDescent="0.35">
      <c r="A34" t="s">
        <v>39</v>
      </c>
    </row>
    <row r="35" spans="1:7" x14ac:dyDescent="0.35">
      <c r="A35" t="s">
        <v>40</v>
      </c>
    </row>
    <row r="36" spans="1:7" x14ac:dyDescent="0.35">
      <c r="A36" t="s">
        <v>41</v>
      </c>
    </row>
    <row r="37" spans="1:7" x14ac:dyDescent="0.35">
      <c r="A37" t="s">
        <v>42</v>
      </c>
    </row>
    <row r="38" spans="1:7" x14ac:dyDescent="0.35">
      <c r="A38" t="s">
        <v>206</v>
      </c>
    </row>
    <row r="39" spans="1:7" x14ac:dyDescent="0.35">
      <c r="A39" t="s">
        <v>205</v>
      </c>
    </row>
    <row r="40" spans="1:7" x14ac:dyDescent="0.35">
      <c r="A40" t="s">
        <v>43</v>
      </c>
    </row>
    <row r="41" spans="1:7" x14ac:dyDescent="0.35">
      <c r="A41" t="s">
        <v>44</v>
      </c>
    </row>
    <row r="43" spans="1:7" ht="20.5" customHeight="1" x14ac:dyDescent="0.35">
      <c r="A43" s="26" t="s">
        <v>45</v>
      </c>
      <c r="B43" s="25"/>
      <c r="C43" s="25"/>
      <c r="D43" s="25"/>
      <c r="E43" s="25"/>
      <c r="F43" s="25"/>
      <c r="G43" s="25"/>
    </row>
    <row r="44" spans="1:7" x14ac:dyDescent="0.35">
      <c r="A44" s="20" t="s">
        <v>46</v>
      </c>
      <c r="B44" s="21" t="s">
        <v>47</v>
      </c>
    </row>
    <row r="45" spans="1:7" x14ac:dyDescent="0.35">
      <c r="A45" s="20" t="s">
        <v>48</v>
      </c>
      <c r="B45" s="21" t="s">
        <v>49</v>
      </c>
    </row>
    <row r="46" spans="1:7" x14ac:dyDescent="0.35">
      <c r="A46" s="20" t="s">
        <v>193</v>
      </c>
      <c r="B46" s="21" t="s">
        <v>50</v>
      </c>
    </row>
    <row r="47" spans="1:7" x14ac:dyDescent="0.35">
      <c r="A47" s="20" t="s">
        <v>51</v>
      </c>
      <c r="B47" s="21" t="s">
        <v>52</v>
      </c>
    </row>
    <row r="48" spans="1:7" x14ac:dyDescent="0.35">
      <c r="A48" s="20" t="s">
        <v>53</v>
      </c>
      <c r="B48" s="21" t="s">
        <v>54</v>
      </c>
    </row>
    <row r="49" spans="1:7" x14ac:dyDescent="0.35">
      <c r="A49" s="20" t="s">
        <v>55</v>
      </c>
      <c r="B49" s="21" t="s">
        <v>56</v>
      </c>
    </row>
    <row r="50" spans="1:7" x14ac:dyDescent="0.35">
      <c r="A50" s="20" t="s">
        <v>57</v>
      </c>
      <c r="B50" s="21" t="s">
        <v>58</v>
      </c>
    </row>
    <row r="52" spans="1:7" ht="20.5" customHeight="1" x14ac:dyDescent="0.35">
      <c r="A52" s="26" t="s">
        <v>59</v>
      </c>
      <c r="B52" s="25"/>
      <c r="C52" s="25"/>
      <c r="D52" s="25"/>
      <c r="E52" s="25"/>
      <c r="F52" s="25"/>
      <c r="G52" s="25"/>
    </row>
    <row r="53" spans="1:7" ht="29.5" customHeight="1" x14ac:dyDescent="0.35">
      <c r="A53" s="24" t="s">
        <v>60</v>
      </c>
      <c r="B53" s="25"/>
      <c r="C53" s="25"/>
      <c r="D53" s="25"/>
      <c r="E53" s="25"/>
      <c r="F53" s="25"/>
      <c r="G53" s="25"/>
    </row>
    <row r="54" spans="1:7" x14ac:dyDescent="0.35">
      <c r="A54" s="18"/>
      <c r="B54" s="18"/>
      <c r="C54" s="18"/>
      <c r="D54" s="18"/>
      <c r="E54" s="18"/>
      <c r="F54" s="18"/>
      <c r="G54" s="18"/>
    </row>
    <row r="55" spans="1:7" ht="43.5" customHeight="1" x14ac:dyDescent="0.35">
      <c r="A55" s="24" t="s">
        <v>61</v>
      </c>
      <c r="B55" s="25"/>
      <c r="C55" s="25"/>
      <c r="D55" s="25"/>
      <c r="E55" s="25"/>
      <c r="F55" s="25"/>
      <c r="G55" s="25"/>
    </row>
    <row r="56" spans="1:7" x14ac:dyDescent="0.35">
      <c r="A56" s="18"/>
      <c r="B56" s="18"/>
      <c r="C56" s="18"/>
      <c r="D56" s="18"/>
      <c r="E56" s="18"/>
      <c r="F56" s="18"/>
      <c r="G56" s="18"/>
    </row>
    <row r="57" spans="1:7" ht="29" customHeight="1" x14ac:dyDescent="0.35">
      <c r="A57" s="24" t="s">
        <v>62</v>
      </c>
      <c r="B57" s="25"/>
      <c r="C57" s="25"/>
      <c r="D57" s="25"/>
      <c r="E57" s="25"/>
      <c r="F57" s="25"/>
      <c r="G57" s="25"/>
    </row>
    <row r="58" spans="1:7" ht="16.5" customHeight="1" x14ac:dyDescent="0.35"/>
    <row r="59" spans="1:7" ht="29" customHeight="1" x14ac:dyDescent="0.35">
      <c r="A59" s="24" t="s">
        <v>63</v>
      </c>
      <c r="B59" s="25"/>
      <c r="C59" s="25"/>
      <c r="D59" s="25"/>
      <c r="E59" s="25"/>
      <c r="F59" s="25"/>
      <c r="G59" s="25"/>
    </row>
    <row r="60" spans="1:7" x14ac:dyDescent="0.35">
      <c r="A60" s="18"/>
      <c r="B60" s="18"/>
      <c r="C60" s="18"/>
      <c r="D60" s="18"/>
      <c r="E60" s="18"/>
      <c r="F60" s="18"/>
      <c r="G60" s="18"/>
    </row>
    <row r="61" spans="1:7" ht="33" customHeight="1" x14ac:dyDescent="0.35">
      <c r="A61" s="24" t="s">
        <v>64</v>
      </c>
      <c r="B61" s="25"/>
      <c r="C61" s="25"/>
      <c r="D61" s="25"/>
      <c r="E61" s="25"/>
      <c r="F61" s="25"/>
      <c r="G61" s="25"/>
    </row>
    <row r="62" spans="1:7" x14ac:dyDescent="0.35">
      <c r="A62" s="18"/>
      <c r="B62" s="18"/>
      <c r="C62" s="18"/>
      <c r="D62" s="18"/>
      <c r="E62" s="18"/>
      <c r="F62" s="18"/>
      <c r="G62" s="18"/>
    </row>
    <row r="63" spans="1:7" ht="29" customHeight="1" x14ac:dyDescent="0.35">
      <c r="A63" s="24" t="s">
        <v>65</v>
      </c>
      <c r="B63" s="25"/>
      <c r="C63" s="25"/>
      <c r="D63" s="25"/>
      <c r="E63" s="25"/>
      <c r="F63" s="25"/>
      <c r="G63" s="25"/>
    </row>
    <row r="64" spans="1:7" x14ac:dyDescent="0.35">
      <c r="A64" s="19"/>
      <c r="B64" s="19"/>
      <c r="C64" s="19"/>
      <c r="D64" s="19"/>
      <c r="E64" s="19"/>
      <c r="F64" s="19"/>
      <c r="G64" s="19"/>
    </row>
  </sheetData>
  <autoFilter ref="A1:G1" xr:uid="{00000000-0009-0000-0000-000000000000}"/>
  <mergeCells count="13">
    <mergeCell ref="A63:G63"/>
    <mergeCell ref="A43:G43"/>
    <mergeCell ref="A2:G2"/>
    <mergeCell ref="A52:G52"/>
    <mergeCell ref="A59:G59"/>
    <mergeCell ref="A57:G57"/>
    <mergeCell ref="A33:G33"/>
    <mergeCell ref="A11:G11"/>
    <mergeCell ref="A61:G61"/>
    <mergeCell ref="A3:G3"/>
    <mergeCell ref="A21:G21"/>
    <mergeCell ref="A53:G53"/>
    <mergeCell ref="A55:G5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9"/>
  <sheetViews>
    <sheetView workbookViewId="0">
      <pane xSplit="1" ySplit="2" topLeftCell="B3" activePane="bottomRight" state="frozen"/>
      <selection pane="topRight" activeCell="B1" sqref="B1"/>
      <selection pane="bottomLeft" activeCell="A3" sqref="A3"/>
      <selection pane="bottomRight" activeCell="E35" sqref="E35"/>
    </sheetView>
  </sheetViews>
  <sheetFormatPr defaultRowHeight="14.5" x14ac:dyDescent="0.35"/>
  <cols>
    <col min="1" max="1" width="28.7265625" customWidth="1"/>
    <col min="2" max="6" width="20.7265625" customWidth="1"/>
  </cols>
  <sheetData>
    <row r="1" spans="1:6" ht="18.5" customHeight="1" x14ac:dyDescent="0.35">
      <c r="A1" s="27" t="s">
        <v>175</v>
      </c>
      <c r="B1" s="25"/>
      <c r="C1" s="25"/>
      <c r="D1" s="25"/>
      <c r="E1" s="25"/>
      <c r="F1" s="25"/>
    </row>
    <row r="2" spans="1:6" x14ac:dyDescent="0.35">
      <c r="A2" s="11" t="s">
        <v>176</v>
      </c>
      <c r="B2" s="11" t="s">
        <v>177</v>
      </c>
      <c r="C2" s="11" t="s">
        <v>178</v>
      </c>
      <c r="D2" s="11" t="s">
        <v>179</v>
      </c>
      <c r="E2" s="11" t="s">
        <v>180</v>
      </c>
      <c r="F2" s="11" t="s">
        <v>181</v>
      </c>
    </row>
    <row r="3" spans="1:6" x14ac:dyDescent="0.35">
      <c r="A3" s="2" t="s">
        <v>182</v>
      </c>
      <c r="B3" s="13">
        <f>Projection!$S$3</f>
        <v>2324700</v>
      </c>
      <c r="C3" s="14">
        <v>3200000</v>
      </c>
      <c r="D3" s="14"/>
      <c r="E3" s="14"/>
      <c r="F3" s="13">
        <f t="shared" ref="F3:F9" si="0">IF(C3="","",C3-B3)</f>
        <v>875300</v>
      </c>
    </row>
    <row r="4" spans="1:6" x14ac:dyDescent="0.35">
      <c r="A4" s="2" t="s">
        <v>183</v>
      </c>
      <c r="B4" s="8">
        <f>IFERROR(INDEX(Projection!$B$3:$B$83,MATCH("*FI Reached*",Projection!$U$3:$U$83,0)),"N/A")</f>
        <v>51</v>
      </c>
      <c r="C4" s="7">
        <v>54</v>
      </c>
      <c r="D4" s="7"/>
      <c r="E4" s="7"/>
      <c r="F4" s="8">
        <f t="shared" si="0"/>
        <v>3</v>
      </c>
    </row>
    <row r="5" spans="1:6" x14ac:dyDescent="0.35">
      <c r="A5" s="2" t="s">
        <v>184</v>
      </c>
      <c r="B5" s="8">
        <f>IFERROR(INDEX(Projection!$A$3:$A$83,MATCH("*FI Reached*",Projection!$U$3:$U$83,0))-Projection!$A$3,"N/A")</f>
        <v>13</v>
      </c>
      <c r="C5" s="7">
        <v>16</v>
      </c>
      <c r="D5" s="7"/>
      <c r="E5" s="7"/>
      <c r="F5" s="8">
        <f t="shared" si="0"/>
        <v>3</v>
      </c>
    </row>
    <row r="6" spans="1:6" x14ac:dyDescent="0.35">
      <c r="A6" s="2" t="s">
        <v>185</v>
      </c>
      <c r="B6" s="8">
        <f>IFERROR(INDEX(Projection!$B$3:$B$83,MATCH("*Coast FI*",Projection!$U$3:$U$83,0)),"N/A")</f>
        <v>39</v>
      </c>
      <c r="C6" s="7">
        <v>43</v>
      </c>
      <c r="D6" s="7"/>
      <c r="E6" s="7"/>
      <c r="F6" s="8">
        <f t="shared" si="0"/>
        <v>4</v>
      </c>
    </row>
    <row r="7" spans="1:6" x14ac:dyDescent="0.35">
      <c r="A7" s="2" t="s">
        <v>186</v>
      </c>
      <c r="B7" s="13">
        <f>Projection!$R$3</f>
        <v>378212</v>
      </c>
      <c r="C7" s="14">
        <v>378212</v>
      </c>
      <c r="D7" s="14"/>
      <c r="E7" s="14"/>
      <c r="F7" s="13">
        <f t="shared" si="0"/>
        <v>0</v>
      </c>
    </row>
    <row r="8" spans="1:6" x14ac:dyDescent="0.35">
      <c r="A8" s="2" t="s">
        <v>187</v>
      </c>
      <c r="B8" s="13">
        <f>Projection!$L$3</f>
        <v>653212</v>
      </c>
      <c r="C8" s="14">
        <v>653212</v>
      </c>
      <c r="D8" s="14"/>
      <c r="E8" s="14"/>
      <c r="F8" s="13">
        <f t="shared" si="0"/>
        <v>0</v>
      </c>
    </row>
    <row r="9" spans="1:6" x14ac:dyDescent="0.35">
      <c r="A9" s="2" t="s">
        <v>188</v>
      </c>
      <c r="B9" s="9">
        <f>Projection!$V$3</f>
        <v>0.45935172413793102</v>
      </c>
      <c r="C9" s="55">
        <v>0.442</v>
      </c>
      <c r="D9" s="54"/>
      <c r="E9" s="54"/>
      <c r="F9" s="52">
        <f t="shared" si="0"/>
        <v>-1.7351724137931013E-2</v>
      </c>
    </row>
  </sheetData>
  <mergeCells count="1">
    <mergeCell ref="A1:F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
  <sheetViews>
    <sheetView workbookViewId="0">
      <selection activeCell="E5" sqref="E5"/>
    </sheetView>
  </sheetViews>
  <sheetFormatPr defaultRowHeight="14.5" x14ac:dyDescent="0.35"/>
  <sheetData>
    <row r="1" spans="1:3" x14ac:dyDescent="0.35">
      <c r="A1" s="10" t="s">
        <v>176</v>
      </c>
      <c r="B1" s="10" t="s">
        <v>189</v>
      </c>
      <c r="C1" s="10" t="s">
        <v>190</v>
      </c>
    </row>
    <row r="2" spans="1:3" x14ac:dyDescent="0.35">
      <c r="A2" t="s">
        <v>191</v>
      </c>
      <c r="B2" s="22">
        <f>IFERROR(C2 / (C2 + C3), 0)</f>
        <v>0.223684776530305</v>
      </c>
      <c r="C2">
        <f>SUM(Assets!C:C)</f>
        <v>520000</v>
      </c>
    </row>
    <row r="3" spans="1:3" x14ac:dyDescent="0.35">
      <c r="A3" t="s">
        <v>192</v>
      </c>
      <c r="B3" s="22">
        <f>IFERROR(C3 / (C2 + C3), 0)</f>
        <v>0.77631522346969506</v>
      </c>
      <c r="C3">
        <f>MAX(0, Projection!S3 - C2)</f>
        <v>1804700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1"/>
  <sheetViews>
    <sheetView showGridLines="0" workbookViewId="0">
      <selection sqref="A1:C1"/>
    </sheetView>
  </sheetViews>
  <sheetFormatPr defaultRowHeight="14.5" x14ac:dyDescent="0.35"/>
  <cols>
    <col min="1" max="1" width="32.7265625" customWidth="1"/>
    <col min="2" max="2" width="15.7265625" customWidth="1"/>
    <col min="3" max="3" width="24.7265625" customWidth="1"/>
  </cols>
  <sheetData>
    <row r="1" spans="1:3" ht="24.5" customHeight="1" x14ac:dyDescent="0.35">
      <c r="A1" s="27" t="s">
        <v>66</v>
      </c>
      <c r="B1" s="25"/>
      <c r="C1" s="25"/>
    </row>
    <row r="2" spans="1:3" x14ac:dyDescent="0.35">
      <c r="A2" s="2" t="s">
        <v>67</v>
      </c>
      <c r="B2" s="3">
        <v>38</v>
      </c>
      <c r="C2" s="4" t="s">
        <v>68</v>
      </c>
    </row>
    <row r="3" spans="1:3" x14ac:dyDescent="0.35">
      <c r="A3" s="2" t="s">
        <v>69</v>
      </c>
      <c r="B3" s="3">
        <v>105</v>
      </c>
      <c r="C3" s="4" t="s">
        <v>68</v>
      </c>
    </row>
    <row r="4" spans="1:3" x14ac:dyDescent="0.35">
      <c r="A4" s="2" t="s">
        <v>70</v>
      </c>
      <c r="B4" s="3">
        <v>65</v>
      </c>
      <c r="C4" s="4" t="s">
        <v>68</v>
      </c>
    </row>
    <row r="5" spans="1:3" x14ac:dyDescent="0.35">
      <c r="A5" s="2" t="s">
        <v>71</v>
      </c>
      <c r="B5" s="3">
        <v>55</v>
      </c>
      <c r="C5" s="4" t="s">
        <v>68</v>
      </c>
    </row>
    <row r="6" spans="1:3" x14ac:dyDescent="0.35">
      <c r="A6" s="2" t="s">
        <v>72</v>
      </c>
      <c r="B6" s="3" t="s">
        <v>73</v>
      </c>
      <c r="C6" s="4" t="s">
        <v>74</v>
      </c>
    </row>
    <row r="7" spans="1:3" x14ac:dyDescent="0.35">
      <c r="A7" s="2" t="s">
        <v>75</v>
      </c>
      <c r="B7" s="3">
        <v>22</v>
      </c>
      <c r="C7" s="4" t="s">
        <v>76</v>
      </c>
    </row>
    <row r="8" spans="1:3" x14ac:dyDescent="0.35">
      <c r="A8" s="2" t="s">
        <v>77</v>
      </c>
      <c r="B8" s="3">
        <v>5</v>
      </c>
      <c r="C8" s="4" t="s">
        <v>76</v>
      </c>
    </row>
    <row r="9" spans="1:3" x14ac:dyDescent="0.35">
      <c r="A9" s="2" t="s">
        <v>78</v>
      </c>
      <c r="B9" s="3">
        <v>3</v>
      </c>
      <c r="C9" s="4" t="s">
        <v>79</v>
      </c>
    </row>
    <row r="10" spans="1:3" x14ac:dyDescent="0.35">
      <c r="A10" s="2" t="s">
        <v>80</v>
      </c>
      <c r="B10" s="3">
        <v>4</v>
      </c>
      <c r="C10" s="4" t="s">
        <v>81</v>
      </c>
    </row>
    <row r="11" spans="1:3" x14ac:dyDescent="0.35">
      <c r="A11" s="2" t="s">
        <v>82</v>
      </c>
      <c r="B11" s="3">
        <v>7</v>
      </c>
      <c r="C11" s="4" t="s">
        <v>79</v>
      </c>
    </row>
  </sheetData>
  <mergeCells count="1">
    <mergeCell ref="A1:C1"/>
  </mergeCells>
  <dataValidations count="1">
    <dataValidation type="list" allowBlank="1" showInputMessage="1" showErrorMessage="1" sqref="B6" xr:uid="{00000000-0002-0000-0100-000000000000}">
      <formula1>"single,married"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B2A4A"/>
  </sheetPr>
  <dimension ref="A1:P9"/>
  <sheetViews>
    <sheetView showGridLines="0" topLeftCell="C1" zoomScale="105" zoomScaleNormal="105" workbookViewId="0">
      <selection activeCell="V16" sqref="V16"/>
    </sheetView>
  </sheetViews>
  <sheetFormatPr defaultRowHeight="14.5" x14ac:dyDescent="0.35"/>
  <cols>
    <col min="1" max="16" width="14.7265625" customWidth="1"/>
  </cols>
  <sheetData>
    <row r="1" spans="1:16" ht="28" customHeight="1" x14ac:dyDescent="0.35">
      <c r="A1" s="28" t="s">
        <v>0</v>
      </c>
      <c r="B1" s="25"/>
      <c r="C1" s="25"/>
      <c r="D1" s="25"/>
      <c r="E1" s="25"/>
      <c r="F1" s="25"/>
      <c r="G1" s="25"/>
      <c r="H1" s="25"/>
      <c r="I1" s="25"/>
      <c r="J1" s="25"/>
      <c r="K1" s="25"/>
      <c r="L1" s="25"/>
      <c r="M1" s="25"/>
      <c r="N1" s="25"/>
      <c r="O1" s="25"/>
      <c r="P1" s="25"/>
    </row>
    <row r="2" spans="1:16" ht="28" customHeight="1" x14ac:dyDescent="0.35">
      <c r="A2" s="25"/>
      <c r="B2" s="25"/>
      <c r="C2" s="25"/>
      <c r="D2" s="25"/>
      <c r="E2" s="25"/>
      <c r="F2" s="25"/>
      <c r="G2" s="25"/>
      <c r="H2" s="25"/>
      <c r="I2" s="25"/>
      <c r="J2" s="25"/>
      <c r="K2" s="25"/>
      <c r="L2" s="25"/>
      <c r="M2" s="25"/>
      <c r="N2" s="25"/>
      <c r="O2" s="25"/>
      <c r="P2" s="25"/>
    </row>
    <row r="3" spans="1:16" ht="28" customHeight="1" x14ac:dyDescent="0.35">
      <c r="A3" s="25"/>
      <c r="B3" s="25"/>
      <c r="C3" s="25"/>
      <c r="D3" s="25"/>
      <c r="E3" s="25"/>
      <c r="F3" s="25"/>
      <c r="G3" s="25"/>
      <c r="H3" s="25"/>
      <c r="I3" s="25"/>
      <c r="J3" s="25"/>
      <c r="K3" s="25"/>
      <c r="L3" s="25"/>
      <c r="M3" s="25"/>
      <c r="N3" s="25"/>
      <c r="O3" s="25"/>
      <c r="P3" s="25"/>
    </row>
    <row r="4" spans="1:16" ht="18" customHeight="1" x14ac:dyDescent="0.35">
      <c r="A4" s="30" t="s">
        <v>1</v>
      </c>
      <c r="B4" s="25"/>
      <c r="C4" s="25"/>
      <c r="D4" s="25"/>
      <c r="E4" s="25"/>
      <c r="F4" s="25"/>
      <c r="G4" s="25"/>
      <c r="H4" s="25"/>
      <c r="I4" s="25"/>
      <c r="J4" s="25"/>
      <c r="K4" s="25"/>
      <c r="L4" s="25"/>
      <c r="M4" s="25"/>
      <c r="N4" s="25"/>
      <c r="O4" s="25"/>
      <c r="P4" s="25"/>
    </row>
    <row r="5" spans="1:16" ht="26" customHeight="1" x14ac:dyDescent="0.35">
      <c r="A5" s="37" t="s">
        <v>2</v>
      </c>
      <c r="B5" s="35"/>
      <c r="C5" s="35"/>
      <c r="D5" s="35"/>
      <c r="E5" s="34" t="s">
        <v>3</v>
      </c>
      <c r="F5" s="35"/>
      <c r="G5" s="35"/>
      <c r="H5" s="35"/>
      <c r="I5" s="38" t="s">
        <v>4</v>
      </c>
      <c r="J5" s="35"/>
      <c r="K5" s="35"/>
      <c r="L5" s="35"/>
      <c r="M5" s="36" t="s">
        <v>5</v>
      </c>
      <c r="N5" s="35"/>
      <c r="O5" s="35"/>
      <c r="P5" s="35"/>
    </row>
    <row r="6" spans="1:16" ht="36" customHeight="1" x14ac:dyDescent="0.35">
      <c r="A6" s="33">
        <f>IFERROR(INDEX(Projection!$A$3:$A$83,MATCH("*FI Reached*",Projection!$U$3:$U$83,0))-Projection!$A$3,"N/A")</f>
        <v>13</v>
      </c>
      <c r="B6" s="25"/>
      <c r="C6" s="25"/>
      <c r="D6" s="25"/>
      <c r="E6" s="29">
        <f>Projection!V3</f>
        <v>0.45935172413793102</v>
      </c>
      <c r="F6" s="25"/>
      <c r="G6" s="25"/>
      <c r="H6" s="25"/>
      <c r="I6" s="31">
        <f>IFERROR(Projection!L3/Projection!S3,0)</f>
        <v>0.28098765432098766</v>
      </c>
      <c r="J6" s="25"/>
      <c r="K6" s="25"/>
      <c r="L6" s="25"/>
      <c r="M6" s="32">
        <f>IFERROR(INDEX(Projection!$B$3:$B$83,MATCH("*Coast FI*",Projection!$U$3:$U$83,0)),"N/A")</f>
        <v>39</v>
      </c>
      <c r="N6" s="25"/>
      <c r="O6" s="25"/>
      <c r="P6" s="25"/>
    </row>
    <row r="7" spans="1:16" ht="28" customHeight="1" x14ac:dyDescent="0.35">
      <c r="A7" s="25"/>
      <c r="B7" s="25"/>
      <c r="C7" s="25"/>
      <c r="D7" s="25"/>
      <c r="E7" s="25"/>
      <c r="F7" s="25"/>
      <c r="G7" s="25"/>
      <c r="H7" s="25"/>
      <c r="I7" s="25"/>
      <c r="J7" s="25"/>
      <c r="K7" s="25"/>
      <c r="L7" s="25"/>
      <c r="M7" s="25"/>
      <c r="N7" s="25"/>
      <c r="O7" s="25"/>
      <c r="P7" s="25"/>
    </row>
    <row r="8" spans="1:16" ht="20" customHeight="1" x14ac:dyDescent="0.35">
      <c r="A8" s="40" t="s">
        <v>6</v>
      </c>
      <c r="B8" s="25"/>
      <c r="C8" s="25"/>
      <c r="D8" s="25"/>
      <c r="E8" s="43" t="s">
        <v>7</v>
      </c>
      <c r="F8" s="25"/>
      <c r="G8" s="25"/>
      <c r="H8" s="25"/>
      <c r="I8" s="44" t="s">
        <v>8</v>
      </c>
      <c r="J8" s="25"/>
      <c r="K8" s="25"/>
      <c r="L8" s="25"/>
      <c r="M8" s="42" t="s">
        <v>9</v>
      </c>
      <c r="N8" s="25"/>
      <c r="O8" s="25"/>
      <c r="P8" s="25"/>
    </row>
    <row r="9" spans="1:16" ht="14" customHeight="1" x14ac:dyDescent="0.35">
      <c r="A9" s="39"/>
      <c r="B9" s="25"/>
      <c r="C9" s="25"/>
      <c r="D9" s="25"/>
      <c r="E9" s="41"/>
      <c r="F9" s="25"/>
      <c r="G9" s="25"/>
      <c r="H9" s="25"/>
      <c r="I9" s="45"/>
      <c r="J9" s="25"/>
      <c r="K9" s="25"/>
      <c r="L9" s="25"/>
      <c r="M9" s="46"/>
      <c r="N9" s="25"/>
      <c r="O9" s="25"/>
      <c r="P9" s="25"/>
    </row>
  </sheetData>
  <mergeCells count="18">
    <mergeCell ref="A9:D9"/>
    <mergeCell ref="A8:D8"/>
    <mergeCell ref="E9:H9"/>
    <mergeCell ref="M8:P8"/>
    <mergeCell ref="E8:H8"/>
    <mergeCell ref="I8:L8"/>
    <mergeCell ref="I9:L9"/>
    <mergeCell ref="M9:P9"/>
    <mergeCell ref="A1:P3"/>
    <mergeCell ref="E6:H7"/>
    <mergeCell ref="A4:P4"/>
    <mergeCell ref="I6:L7"/>
    <mergeCell ref="M6:P7"/>
    <mergeCell ref="A6:D7"/>
    <mergeCell ref="E5:H5"/>
    <mergeCell ref="M5:P5"/>
    <mergeCell ref="A5:D5"/>
    <mergeCell ref="I5:L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83"/>
  <sheetViews>
    <sheetView workbookViewId="0">
      <pane ySplit="2" topLeftCell="A45" activePane="bottomLeft" state="frozen"/>
      <selection pane="bottomLeft" sqref="A1:V1"/>
    </sheetView>
  </sheetViews>
  <sheetFormatPr defaultRowHeight="14.5" x14ac:dyDescent="0.35"/>
  <cols>
    <col min="1" max="1" width="9.26953125" bestFit="1" customWidth="1"/>
    <col min="2" max="2" width="8.7265625" bestFit="1" customWidth="1"/>
    <col min="3" max="3" width="19.7265625" style="15" bestFit="1" customWidth="1"/>
    <col min="4" max="4" width="12.90625" style="15" bestFit="1" customWidth="1"/>
    <col min="5" max="5" width="18.08984375" style="15" bestFit="1" customWidth="1"/>
    <col min="6" max="6" width="22.7265625" style="15" bestFit="1" customWidth="1"/>
    <col min="7" max="7" width="21.36328125" style="15" bestFit="1" customWidth="1"/>
    <col min="8" max="8" width="21.08984375" style="15" bestFit="1" customWidth="1"/>
    <col min="9" max="9" width="21.90625" style="15" bestFit="1" customWidth="1"/>
    <col min="10" max="10" width="21.81640625" style="15" bestFit="1" customWidth="1"/>
    <col min="11" max="11" width="22.7265625" style="15" bestFit="1" customWidth="1"/>
    <col min="12" max="12" width="26.453125" style="15" bestFit="1" customWidth="1"/>
    <col min="13" max="13" width="23.54296875" style="15" bestFit="1" customWidth="1"/>
    <col min="14" max="14" width="25.453125" style="15" bestFit="1" customWidth="1"/>
    <col min="15" max="15" width="25.36328125" style="15" bestFit="1" customWidth="1"/>
    <col min="16" max="16" width="26.26953125" style="15" bestFit="1" customWidth="1"/>
    <col min="17" max="17" width="20.7265625" style="15" customWidth="1"/>
    <col min="18" max="18" width="17.26953125" style="15" bestFit="1" customWidth="1"/>
    <col min="19" max="19" width="17.1796875" style="15" bestFit="1" customWidth="1"/>
    <col min="20" max="20" width="14.7265625" style="15" bestFit="1" customWidth="1"/>
    <col min="21" max="21" width="15" bestFit="1" customWidth="1"/>
    <col min="22" max="22" width="19.36328125" bestFit="1" customWidth="1"/>
  </cols>
  <sheetData>
    <row r="1" spans="1:22" s="12" customFormat="1" ht="24.5" customHeight="1" x14ac:dyDescent="0.35">
      <c r="A1" s="27" t="s">
        <v>83</v>
      </c>
      <c r="B1" s="47"/>
      <c r="C1" s="47"/>
      <c r="D1" s="47"/>
      <c r="E1" s="47"/>
      <c r="F1" s="47"/>
      <c r="G1" s="47"/>
      <c r="H1" s="47"/>
      <c r="I1" s="47"/>
      <c r="J1" s="47"/>
      <c r="K1" s="47"/>
      <c r="L1" s="47"/>
      <c r="M1" s="47"/>
      <c r="N1" s="47"/>
      <c r="O1" s="47"/>
      <c r="P1" s="47"/>
      <c r="Q1" s="47"/>
      <c r="R1" s="47"/>
      <c r="S1" s="47"/>
      <c r="T1" s="47"/>
      <c r="U1" s="47"/>
      <c r="V1" s="47"/>
    </row>
    <row r="2" spans="1:22" s="12" customFormat="1" x14ac:dyDescent="0.35">
      <c r="A2" s="11" t="s">
        <v>84</v>
      </c>
      <c r="B2" s="11" t="s">
        <v>85</v>
      </c>
      <c r="C2" s="16" t="s">
        <v>86</v>
      </c>
      <c r="D2" s="16" t="s">
        <v>87</v>
      </c>
      <c r="E2" s="16" t="s">
        <v>88</v>
      </c>
      <c r="F2" s="16" t="s">
        <v>89</v>
      </c>
      <c r="G2" s="16" t="s">
        <v>90</v>
      </c>
      <c r="H2" s="16" t="s">
        <v>91</v>
      </c>
      <c r="I2" s="16" t="s">
        <v>92</v>
      </c>
      <c r="J2" s="16" t="s">
        <v>93</v>
      </c>
      <c r="K2" s="16" t="s">
        <v>94</v>
      </c>
      <c r="L2" s="16" t="s">
        <v>95</v>
      </c>
      <c r="M2" s="16" t="s">
        <v>96</v>
      </c>
      <c r="N2" s="16" t="s">
        <v>97</v>
      </c>
      <c r="O2" s="16" t="s">
        <v>98</v>
      </c>
      <c r="P2" s="16" t="s">
        <v>99</v>
      </c>
      <c r="Q2" s="16" t="s">
        <v>100</v>
      </c>
      <c r="R2" s="16" t="s">
        <v>101</v>
      </c>
      <c r="S2" s="16" t="s">
        <v>102</v>
      </c>
      <c r="T2" s="16" t="s">
        <v>103</v>
      </c>
      <c r="U2" s="11" t="s">
        <v>104</v>
      </c>
      <c r="V2" s="11" t="s">
        <v>105</v>
      </c>
    </row>
    <row r="3" spans="1:22" x14ac:dyDescent="0.35">
      <c r="A3">
        <v>2024</v>
      </c>
      <c r="B3">
        <f>Settings!$B$2</f>
        <v>38</v>
      </c>
      <c r="C3" s="15">
        <f>SUMPRODUCT((Income!$E$3:$E$49&lt;=A3)*(Income!$F$3:$F$49&gt;=A3)*(Income!$C$3:$C$49)*(1+Income!$D$3:$D$49/100)^(A3-Income!$E$3:$E$49))</f>
        <v>290000</v>
      </c>
      <c r="D3" s="15">
        <f>C3*(Settings!$B$7/100)</f>
        <v>63800</v>
      </c>
      <c r="E3" s="15">
        <f t="shared" ref="E3:E34" si="0">C3-D3</f>
        <v>226200</v>
      </c>
      <c r="F3" s="15">
        <f>IF('Simple Budget'!$B$2="Yes",SUMPRODUCT(('Simple Budget'!$E$4:$E$50&lt;=A3)*('Simple Budget'!$F$4:$F$50&gt;=A3)*('Simple Budget'!$B$4:$B$50)*(1+'Simple Budget'!$C$4:$C$50/100)^(A3-'Simple Budget'!$E$4:$E$50)),SUMPRODUCT(('Detailed Budget'!$E$3:$E$105&lt;=A3)*('Detailed Budget'!$F$3:$F$105&gt;=A3)*('Detailed Budget'!$C$3:$C$105)*12*(1+Settings!$B$9/100)^(A3-2024)))</f>
        <v>92988</v>
      </c>
      <c r="G3" s="23">
        <v>0</v>
      </c>
      <c r="H3" s="15">
        <f>E3-F3+G3</f>
        <v>133212</v>
      </c>
      <c r="I3" s="15">
        <f>SUMIF(Assets!$G$3:$G$51,"Taxable",Assets!$C$3:$C$51)+MAX(0,H3)-N3</f>
        <v>228212</v>
      </c>
      <c r="J3" s="15">
        <f>SUMIF(Assets!$G$3:$G$51,"Pre-Tax",Assets!$C$3:$C$51)-O3</f>
        <v>200000</v>
      </c>
      <c r="K3" s="15">
        <f>SUMIF(Assets!$G$3:$G$51,"Tax-Free",Assets!$C$3:$C$51)-P3</f>
        <v>225000</v>
      </c>
      <c r="L3" s="15">
        <f t="shared" ref="L3:L34" si="1">I3+J3+K3</f>
        <v>653212</v>
      </c>
      <c r="M3" s="15">
        <f t="shared" ref="M3:M34" si="2">IF(H3&lt;0,ABS(H3),0)</f>
        <v>0</v>
      </c>
      <c r="N3" s="15">
        <f>MIN(M3,SUMIF(Assets!$G$3:$G$51,"Taxable",Assets!$C$3:$C$51))</f>
        <v>0</v>
      </c>
      <c r="O3" s="15">
        <f>IF(B3&gt;=59.5,MIN(M3-N3,SUMIF(Assets!$G$3:$G$51,"Pre-Tax",Assets!$C$3:$C$51)),0)</f>
        <v>0</v>
      </c>
      <c r="P3" s="15">
        <f>MIN(M3-N3-O3,SUMIF(Assets!$G$3:$G$51,"Tax-Free",Assets!$C$3:$C$51))</f>
        <v>0</v>
      </c>
      <c r="Q3" s="15">
        <f t="shared" ref="Q3:Q34" si="3">MAX(0,M3-N3-O3-P3)</f>
        <v>0</v>
      </c>
      <c r="R3" s="15">
        <f>L3+SUMIF(Assets!$H$3:$H$51,"Real Estate",Assets!$C$3:$C$51)-SUM(Liabilities!$D$3:$D$52)</f>
        <v>378212</v>
      </c>
      <c r="S3" s="15">
        <f>F3/(Settings!$B$10/100)</f>
        <v>2324700</v>
      </c>
      <c r="T3" s="15">
        <f>S3/((1+Settings!$B$11/100)^MAX(0,Settings!$B$5-B3))</f>
        <v>735940.48551191692</v>
      </c>
      <c r="U3" t="str">
        <f t="shared" ref="U3:U34" si="4">IF(L3&gt;=S3,"🔥 FI Reached",IF(L3&gt;=T3,"🌊 Coast FI",""))</f>
        <v/>
      </c>
      <c r="V3" s="1">
        <f t="shared" ref="V3:V34" si="5">IF(C3&lt;=0,0,MAX(-1,H3/C3))</f>
        <v>0.45935172413793102</v>
      </c>
    </row>
    <row r="4" spans="1:22" x14ac:dyDescent="0.35">
      <c r="A4">
        <v>2025</v>
      </c>
      <c r="B4">
        <f t="shared" ref="B4:B35" si="6">B3+1</f>
        <v>39</v>
      </c>
      <c r="C4" s="15">
        <f>SUMPRODUCT((Income!$E$3:$E$49&lt;=A4)*(Income!$F$3:$F$49&gt;=A4)*(Income!$C$3:$C$49)*(1+Income!$D$3:$D$49/100)^(A4-Income!$E$3:$E$49))</f>
        <v>300150</v>
      </c>
      <c r="D4" s="15">
        <f>C4*(Settings!$B$7/100)</f>
        <v>66033</v>
      </c>
      <c r="E4" s="15">
        <f t="shared" si="0"/>
        <v>234117</v>
      </c>
      <c r="F4" s="15">
        <f>IF('Simple Budget'!$B$2="Yes",SUMPRODUCT(('Simple Budget'!$E$4:$E$50&lt;=A4)*('Simple Budget'!$F$4:$F$50&gt;=A4)*('Simple Budget'!$B$4:$B$50)*(1+'Simple Budget'!$C$4:$C$50/100)^(A4-'Simple Budget'!$E$4:$E$50)),SUMPRODUCT(('Detailed Budget'!$E$3:$E$105&lt;=A4)*('Detailed Budget'!$F$3:$F$105&gt;=A4)*('Detailed Budget'!$C$3:$C$105)*12*(1+Settings!$B$9/100)^(A4-2024)))</f>
        <v>95777.64</v>
      </c>
      <c r="G4" s="23">
        <v>0</v>
      </c>
      <c r="H4" s="15">
        <f t="shared" ref="H4:H67" si="7">E4-F4+G4</f>
        <v>138339.35999999999</v>
      </c>
      <c r="I4" s="15">
        <f>I3*(1+IFERROR(AVERAGEIFS(Assets!$D$3:$D$51,Assets!$G$3:$G$51,"Taxable")/100,Settings!$B$11/100))+MAX(0,H4)-N4</f>
        <v>373397.72</v>
      </c>
      <c r="J4" s="15">
        <f>J3*(1+IFERROR(AVERAGEIFS(Assets!$D$3:$D$51,Assets!$G$3:$G$51,"Pre-Tax")/100,Settings!$B$11/100))-O4</f>
        <v>214000</v>
      </c>
      <c r="K4" s="15">
        <f>K3*(1+IFERROR(AVERAGEIFS(Assets!$D$3:$D$51,Assets!$G$3:$G$51,"Tax-Free")/100,Settings!$B$11/100))-P4</f>
        <v>234000</v>
      </c>
      <c r="L4" s="15">
        <f t="shared" si="1"/>
        <v>821397.72</v>
      </c>
      <c r="M4" s="15">
        <f t="shared" si="2"/>
        <v>0</v>
      </c>
      <c r="N4" s="15">
        <f>MIN(M4,I3*(1+IFERROR(AVERAGEIFS(Assets!$D$3:$D$51,Assets!$G$3:$G$51,"Taxable")/100,Settings!$B$11/100)))</f>
        <v>0</v>
      </c>
      <c r="O4" s="15">
        <f>IF(B4&gt;=59.5,MIN(M4-N4,J3*(1+IFERROR(AVERAGEIFS(Assets!$D$3:$D$51,Assets!$G$3:$G$51,"Pre-Tax")/100,Settings!$B$11/100))),0)</f>
        <v>0</v>
      </c>
      <c r="P4" s="15">
        <f>MIN(M4-N4-O4,K3*(1+IFERROR(AVERAGEIFS(Assets!$D$3:$D$51,Assets!$G$3:$G$51,"Tax-Free")/100,Settings!$B$11/100)))</f>
        <v>0</v>
      </c>
      <c r="Q4" s="15">
        <f t="shared" si="3"/>
        <v>0</v>
      </c>
      <c r="R4" s="15">
        <f>L4+SUMIF(Assets!$H$3:$H$51,"Real Estate",Assets!$C$3:$C$51)-SUM(Liabilities!$D$3:$D$52)</f>
        <v>546397.72</v>
      </c>
      <c r="S4" s="15">
        <f>F4/(Settings!$B$10/100)</f>
        <v>2394441</v>
      </c>
      <c r="T4" s="15">
        <f>S4/((1+Settings!$B$11/100)^MAX(0,Settings!$B$5-B4))</f>
        <v>811080.00908268359</v>
      </c>
      <c r="U4" t="str">
        <f t="shared" si="4"/>
        <v>🌊 Coast FI</v>
      </c>
      <c r="V4" s="1">
        <f t="shared" si="5"/>
        <v>0.46090074962518734</v>
      </c>
    </row>
    <row r="5" spans="1:22" x14ac:dyDescent="0.35">
      <c r="A5">
        <v>2026</v>
      </c>
      <c r="B5">
        <f t="shared" si="6"/>
        <v>40</v>
      </c>
      <c r="C5" s="15">
        <f>SUMPRODUCT((Income!$E$3:$E$49&lt;=A5)*(Income!$F$3:$F$49&gt;=A5)*(Income!$C$3:$C$49)*(1+Income!$D$3:$D$49/100)^(A5-Income!$E$3:$E$49))</f>
        <v>310655.24999999994</v>
      </c>
      <c r="D5" s="15">
        <f>C5*(Settings!$B$7/100)</f>
        <v>68344.154999999984</v>
      </c>
      <c r="E5" s="15">
        <f t="shared" si="0"/>
        <v>242311.09499999997</v>
      </c>
      <c r="F5" s="15">
        <f>IF('Simple Budget'!$B$2="Yes",SUMPRODUCT(('Simple Budget'!$E$4:$E$50&lt;=A5)*('Simple Budget'!$F$4:$F$50&gt;=A5)*('Simple Budget'!$B$4:$B$50)*(1+'Simple Budget'!$C$4:$C$50/100)^(A5-'Simple Budget'!$E$4:$E$50)),SUMPRODUCT(('Detailed Budget'!$E$3:$E$105&lt;=A5)*('Detailed Budget'!$F$3:$F$105&gt;=A5)*('Detailed Budget'!$C$3:$C$105)*12*(1+Settings!$B$9/100)^(A5-2024)))</f>
        <v>98650.969199999992</v>
      </c>
      <c r="G5" s="23">
        <v>0</v>
      </c>
      <c r="H5" s="15">
        <f t="shared" si="7"/>
        <v>143660.12579999998</v>
      </c>
      <c r="I5" s="15">
        <f>I4*(1+IFERROR(AVERAGEIFS(Assets!$D$3:$D$51,Assets!$G$3:$G$51,"Taxable")/100,Settings!$B$11/100))+MAX(0,H5)-N5</f>
        <v>528259.77740000002</v>
      </c>
      <c r="J5" s="15">
        <f>J4*(1+IFERROR(AVERAGEIFS(Assets!$D$3:$D$51,Assets!$G$3:$G$51,"Pre-Tax")/100,Settings!$B$11/100))-O5</f>
        <v>228980</v>
      </c>
      <c r="K5" s="15">
        <f>K4*(1+IFERROR(AVERAGEIFS(Assets!$D$3:$D$51,Assets!$G$3:$G$51,"Tax-Free")/100,Settings!$B$11/100))-P5</f>
        <v>243360</v>
      </c>
      <c r="L5" s="15">
        <f t="shared" si="1"/>
        <v>1000599.7774</v>
      </c>
      <c r="M5" s="15">
        <f t="shared" si="2"/>
        <v>0</v>
      </c>
      <c r="N5" s="15">
        <f>MIN(M5,I4*(1+IFERROR(AVERAGEIFS(Assets!$D$3:$D$51,Assets!$G$3:$G$51,"Taxable")/100,Settings!$B$11/100)))</f>
        <v>0</v>
      </c>
      <c r="O5" s="15">
        <f>IF(B5&gt;=59.5,MIN(M5-N5,J4*(1+IFERROR(AVERAGEIFS(Assets!$D$3:$D$51,Assets!$G$3:$G$51,"Pre-Tax")/100,Settings!$B$11/100))),0)</f>
        <v>0</v>
      </c>
      <c r="P5" s="15">
        <f>MIN(M5-N5-O5,K4*(1+IFERROR(AVERAGEIFS(Assets!$D$3:$D$51,Assets!$G$3:$G$51,"Tax-Free")/100,Settings!$B$11/100)))</f>
        <v>0</v>
      </c>
      <c r="Q5" s="15">
        <f t="shared" si="3"/>
        <v>0</v>
      </c>
      <c r="R5" s="15">
        <f>L5+SUMIF(Assets!$H$3:$H$51,"Real Estate",Assets!$C$3:$C$51)-SUM(Liabilities!$D$3:$D$52)</f>
        <v>725599.77740000002</v>
      </c>
      <c r="S5" s="15">
        <f>F5/(Settings!$B$10/100)</f>
        <v>2466274.23</v>
      </c>
      <c r="T5" s="15">
        <f>S5/((1+Settings!$B$11/100)^MAX(0,Settings!$B$5-B5))</f>
        <v>893891.2780100255</v>
      </c>
      <c r="U5" t="str">
        <f t="shared" si="4"/>
        <v>🌊 Coast FI</v>
      </c>
      <c r="V5" s="1">
        <f t="shared" si="5"/>
        <v>0.4624422918975295</v>
      </c>
    </row>
    <row r="6" spans="1:22" x14ac:dyDescent="0.35">
      <c r="A6">
        <v>2027</v>
      </c>
      <c r="B6">
        <f t="shared" si="6"/>
        <v>41</v>
      </c>
      <c r="C6" s="15">
        <f>SUMPRODUCT((Income!$E$3:$E$49&lt;=A6)*(Income!$F$3:$F$49&gt;=A6)*(Income!$C$3:$C$49)*(1+Income!$D$3:$D$49/100)^(A6-Income!$E$3:$E$49))</f>
        <v>321528.18374999997</v>
      </c>
      <c r="D6" s="15">
        <f>C6*(Settings!$B$7/100)</f>
        <v>70736.200424999988</v>
      </c>
      <c r="E6" s="15">
        <f t="shared" si="0"/>
        <v>250791.98332499998</v>
      </c>
      <c r="F6" s="15">
        <f>IF('Simple Budget'!$B$2="Yes",SUMPRODUCT(('Simple Budget'!$E$4:$E$50&lt;=A6)*('Simple Budget'!$F$4:$F$50&gt;=A6)*('Simple Budget'!$B$4:$B$50)*(1+'Simple Budget'!$C$4:$C$50/100)^(A6-'Simple Budget'!$E$4:$E$50)),SUMPRODUCT(('Detailed Budget'!$E$3:$E$105&lt;=A6)*('Detailed Budget'!$F$3:$F$105&gt;=A6)*('Detailed Budget'!$C$3:$C$105)*12*(1+Settings!$B$9/100)^(A6-2024)))</f>
        <v>101610.498276</v>
      </c>
      <c r="G6" s="23">
        <v>0</v>
      </c>
      <c r="H6" s="15">
        <f t="shared" si="7"/>
        <v>149181.48504899998</v>
      </c>
      <c r="I6" s="15">
        <f>I5*(1+IFERROR(AVERAGEIFS(Assets!$D$3:$D$51,Assets!$G$3:$G$51,"Taxable")/100,Settings!$B$11/100))+MAX(0,H6)-N6</f>
        <v>693289.0557710001</v>
      </c>
      <c r="J6" s="15">
        <f>J5*(1+IFERROR(AVERAGEIFS(Assets!$D$3:$D$51,Assets!$G$3:$G$51,"Pre-Tax")/100,Settings!$B$11/100))-O6</f>
        <v>245008.6</v>
      </c>
      <c r="K6" s="15">
        <f>K5*(1+IFERROR(AVERAGEIFS(Assets!$D$3:$D$51,Assets!$G$3:$G$51,"Tax-Free")/100,Settings!$B$11/100))-P6</f>
        <v>253094.39999999999</v>
      </c>
      <c r="L6" s="15">
        <f t="shared" si="1"/>
        <v>1191392.055771</v>
      </c>
      <c r="M6" s="15">
        <f t="shared" si="2"/>
        <v>0</v>
      </c>
      <c r="N6" s="15">
        <f>MIN(M6,I5*(1+IFERROR(AVERAGEIFS(Assets!$D$3:$D$51,Assets!$G$3:$G$51,"Taxable")/100,Settings!$B$11/100)))</f>
        <v>0</v>
      </c>
      <c r="O6" s="15">
        <f>IF(B6&gt;=59.5,MIN(M6-N6,J5*(1+IFERROR(AVERAGEIFS(Assets!$D$3:$D$51,Assets!$G$3:$G$51,"Pre-Tax")/100,Settings!$B$11/100))),0)</f>
        <v>0</v>
      </c>
      <c r="P6" s="15">
        <f>MIN(M6-N6-O6,K5*(1+IFERROR(AVERAGEIFS(Assets!$D$3:$D$51,Assets!$G$3:$G$51,"Tax-Free")/100,Settings!$B$11/100)))</f>
        <v>0</v>
      </c>
      <c r="Q6" s="15">
        <f t="shared" si="3"/>
        <v>0</v>
      </c>
      <c r="R6" s="15">
        <f>L6+SUMIF(Assets!$H$3:$H$51,"Real Estate",Assets!$C$3:$C$51)-SUM(Liabilities!$D$3:$D$52)</f>
        <v>916392.05577099998</v>
      </c>
      <c r="S6" s="15">
        <f>F6/(Settings!$B$10/100)</f>
        <v>2540262.4569000001</v>
      </c>
      <c r="T6" s="15">
        <f>S6/((1+Settings!$B$11/100)^MAX(0,Settings!$B$5-B6))</f>
        <v>985157.57749484922</v>
      </c>
      <c r="U6" t="str">
        <f t="shared" si="4"/>
        <v>🌊 Coast FI</v>
      </c>
      <c r="V6" s="1">
        <f t="shared" si="5"/>
        <v>0.46397638710575395</v>
      </c>
    </row>
    <row r="7" spans="1:22" x14ac:dyDescent="0.35">
      <c r="A7">
        <v>2028</v>
      </c>
      <c r="B7">
        <f t="shared" si="6"/>
        <v>42</v>
      </c>
      <c r="C7" s="15">
        <f>SUMPRODUCT((Income!$E$3:$E$49&lt;=A7)*(Income!$F$3:$F$49&gt;=A7)*(Income!$C$3:$C$49)*(1+Income!$D$3:$D$49/100)^(A7-Income!$E$3:$E$49))</f>
        <v>332781.67018124991</v>
      </c>
      <c r="D7" s="15">
        <f>C7*(Settings!$B$7/100)</f>
        <v>73211.967439874978</v>
      </c>
      <c r="E7" s="15">
        <f t="shared" si="0"/>
        <v>259569.70274137493</v>
      </c>
      <c r="F7" s="15">
        <f>IF('Simple Budget'!$B$2="Yes",SUMPRODUCT(('Simple Budget'!$E$4:$E$50&lt;=A7)*('Simple Budget'!$F$4:$F$50&gt;=A7)*('Simple Budget'!$B$4:$B$50)*(1+'Simple Budget'!$C$4:$C$50/100)^(A7-'Simple Budget'!$E$4:$E$50)),SUMPRODUCT(('Detailed Budget'!$E$3:$E$105&lt;=A7)*('Detailed Budget'!$F$3:$F$105&gt;=A7)*('Detailed Budget'!$C$3:$C$105)*12*(1+Settings!$B$9/100)^(A7-2024)))</f>
        <v>134372.24580827999</v>
      </c>
      <c r="G7" s="23">
        <v>0</v>
      </c>
      <c r="H7" s="15">
        <f t="shared" si="7"/>
        <v>125197.45693309495</v>
      </c>
      <c r="I7" s="15">
        <f>I6*(1+IFERROR(AVERAGEIFS(Assets!$D$3:$D$51,Assets!$G$3:$G$51,"Taxable")/100,Settings!$B$11/100))+MAX(0,H7)-N7</f>
        <v>839285.18437722512</v>
      </c>
      <c r="J7" s="15">
        <f>J6*(1+IFERROR(AVERAGEIFS(Assets!$D$3:$D$51,Assets!$G$3:$G$51,"Pre-Tax")/100,Settings!$B$11/100))-O7</f>
        <v>262159.20200000005</v>
      </c>
      <c r="K7" s="15">
        <f>K6*(1+IFERROR(AVERAGEIFS(Assets!$D$3:$D$51,Assets!$G$3:$G$51,"Tax-Free")/100,Settings!$B$11/100))-P7</f>
        <v>263218.17599999998</v>
      </c>
      <c r="L7" s="15">
        <f t="shared" si="1"/>
        <v>1364662.5623772251</v>
      </c>
      <c r="M7" s="15">
        <f t="shared" si="2"/>
        <v>0</v>
      </c>
      <c r="N7" s="15">
        <f>MIN(M7,I6*(1+IFERROR(AVERAGEIFS(Assets!$D$3:$D$51,Assets!$G$3:$G$51,"Taxable")/100,Settings!$B$11/100)))</f>
        <v>0</v>
      </c>
      <c r="O7" s="15">
        <f>IF(B7&gt;=59.5,MIN(M7-N7,J6*(1+IFERROR(AVERAGEIFS(Assets!$D$3:$D$51,Assets!$G$3:$G$51,"Pre-Tax")/100,Settings!$B$11/100))),0)</f>
        <v>0</v>
      </c>
      <c r="P7" s="15">
        <f>MIN(M7-N7-O7,K6*(1+IFERROR(AVERAGEIFS(Assets!$D$3:$D$51,Assets!$G$3:$G$51,"Tax-Free")/100,Settings!$B$11/100)))</f>
        <v>0</v>
      </c>
      <c r="Q7" s="15">
        <f t="shared" si="3"/>
        <v>0</v>
      </c>
      <c r="R7" s="15">
        <f>L7+SUMIF(Assets!$H$3:$H$51,"Real Estate",Assets!$C$3:$C$51)-SUM(Liabilities!$D$3:$D$52)</f>
        <v>1089662.5623772251</v>
      </c>
      <c r="S7" s="15">
        <f>F7/(Settings!$B$10/100)</f>
        <v>3359306.1452069995</v>
      </c>
      <c r="T7" s="15">
        <f>S7/((1+Settings!$B$11/100)^MAX(0,Settings!$B$5-B7))</f>
        <v>1393992.6198343942</v>
      </c>
      <c r="U7" t="str">
        <f t="shared" si="4"/>
        <v/>
      </c>
      <c r="V7" s="1">
        <f t="shared" si="5"/>
        <v>0.37621500266197355</v>
      </c>
    </row>
    <row r="8" spans="1:22" x14ac:dyDescent="0.35">
      <c r="A8">
        <v>2029</v>
      </c>
      <c r="B8">
        <f t="shared" si="6"/>
        <v>43</v>
      </c>
      <c r="C8" s="15">
        <f>SUMPRODUCT((Income!$E$3:$E$49&lt;=A8)*(Income!$F$3:$F$49&gt;=A8)*(Income!$C$3:$C$49)*(1+Income!$D$3:$D$49/100)^(A8-Income!$E$3:$E$49))</f>
        <v>344429.02863759361</v>
      </c>
      <c r="D8" s="15">
        <f>C8*(Settings!$B$7/100)</f>
        <v>75774.386300270591</v>
      </c>
      <c r="E8" s="15">
        <f t="shared" si="0"/>
        <v>268654.64233732305</v>
      </c>
      <c r="F8" s="15">
        <f>IF('Simple Budget'!$B$2="Yes",SUMPRODUCT(('Simple Budget'!$E$4:$E$50&lt;=A8)*('Simple Budget'!$F$4:$F$50&gt;=A8)*('Simple Budget'!$B$4:$B$50)*(1+'Simple Budget'!$C$4:$C$50/100)^(A8-'Simple Budget'!$E$4:$E$50)),SUMPRODUCT(('Detailed Budget'!$E$3:$E$105&lt;=A8)*('Detailed Budget'!$F$3:$F$105&gt;=A8)*('Detailed Budget'!$C$3:$C$105)*12*(1+Settings!$B$9/100)^(A8-2024)))</f>
        <v>138403.41318252837</v>
      </c>
      <c r="G8" s="23">
        <v>0</v>
      </c>
      <c r="H8" s="15">
        <f t="shared" si="7"/>
        <v>130251.22915479468</v>
      </c>
      <c r="I8" s="15">
        <f>I7*(1+IFERROR(AVERAGEIFS(Assets!$D$3:$D$51,Assets!$G$3:$G$51,"Taxable")/100,Settings!$B$11/100))+MAX(0,H8)-N8</f>
        <v>994714.96906333661</v>
      </c>
      <c r="J8" s="15">
        <f>J7*(1+IFERROR(AVERAGEIFS(Assets!$D$3:$D$51,Assets!$G$3:$G$51,"Pre-Tax")/100,Settings!$B$11/100))-O8</f>
        <v>280510.3461400001</v>
      </c>
      <c r="K8" s="15">
        <f>K7*(1+IFERROR(AVERAGEIFS(Assets!$D$3:$D$51,Assets!$G$3:$G$51,"Tax-Free")/100,Settings!$B$11/100))-P8</f>
        <v>273746.90304</v>
      </c>
      <c r="L8" s="15">
        <f t="shared" si="1"/>
        <v>1548972.2182433368</v>
      </c>
      <c r="M8" s="15">
        <f t="shared" si="2"/>
        <v>0</v>
      </c>
      <c r="N8" s="15">
        <f>MIN(M8,I7*(1+IFERROR(AVERAGEIFS(Assets!$D$3:$D$51,Assets!$G$3:$G$51,"Taxable")/100,Settings!$B$11/100)))</f>
        <v>0</v>
      </c>
      <c r="O8" s="15">
        <f>IF(B8&gt;=59.5,MIN(M8-N8,J7*(1+IFERROR(AVERAGEIFS(Assets!$D$3:$D$51,Assets!$G$3:$G$51,"Pre-Tax")/100,Settings!$B$11/100))),0)</f>
        <v>0</v>
      </c>
      <c r="P8" s="15">
        <f>MIN(M8-N8-O8,K7*(1+IFERROR(AVERAGEIFS(Assets!$D$3:$D$51,Assets!$G$3:$G$51,"Tax-Free")/100,Settings!$B$11/100)))</f>
        <v>0</v>
      </c>
      <c r="Q8" s="15">
        <f t="shared" si="3"/>
        <v>0</v>
      </c>
      <c r="R8" s="15">
        <f>L8+SUMIF(Assets!$H$3:$H$51,"Real Estate",Assets!$C$3:$C$51)-SUM(Liabilities!$D$3:$D$52)</f>
        <v>1273972.2182433368</v>
      </c>
      <c r="S8" s="15">
        <f>F8/(Settings!$B$10/100)</f>
        <v>3460085.3295632093</v>
      </c>
      <c r="T8" s="15">
        <f>S8/((1+Settings!$B$11/100)^MAX(0,Settings!$B$5-B8))</f>
        <v>1536319.2663194858</v>
      </c>
      <c r="U8" t="str">
        <f t="shared" si="4"/>
        <v>🌊 Coast FI</v>
      </c>
      <c r="V8" s="1">
        <f t="shared" si="5"/>
        <v>0.37816565482302694</v>
      </c>
    </row>
    <row r="9" spans="1:22" x14ac:dyDescent="0.35">
      <c r="A9">
        <v>2030</v>
      </c>
      <c r="B9">
        <f t="shared" si="6"/>
        <v>44</v>
      </c>
      <c r="C9" s="15">
        <f>SUMPRODUCT((Income!$E$3:$E$49&lt;=A9)*(Income!$F$3:$F$49&gt;=A9)*(Income!$C$3:$C$49)*(1+Income!$D$3:$D$49/100)^(A9-Income!$E$3:$E$49))</f>
        <v>356484.04463990941</v>
      </c>
      <c r="D9" s="15">
        <f>C9*(Settings!$B$7/100)</f>
        <v>78426.489820780072</v>
      </c>
      <c r="E9" s="15">
        <f t="shared" si="0"/>
        <v>278057.55481912935</v>
      </c>
      <c r="F9" s="15">
        <f>IF('Simple Budget'!$B$2="Yes",SUMPRODUCT(('Simple Budget'!$E$4:$E$50&lt;=A9)*('Simple Budget'!$F$4:$F$50&gt;=A9)*('Simple Budget'!$B$4:$B$50)*(1+'Simple Budget'!$C$4:$C$50/100)^(A9-'Simple Budget'!$E$4:$E$50)),SUMPRODUCT(('Detailed Budget'!$E$3:$E$105&lt;=A9)*('Detailed Budget'!$F$3:$F$105&gt;=A9)*('Detailed Budget'!$C$3:$C$105)*12*(1+Settings!$B$9/100)^(A9-2024)))</f>
        <v>142555.51557800427</v>
      </c>
      <c r="G9" s="23">
        <v>0</v>
      </c>
      <c r="H9" s="15">
        <f t="shared" si="7"/>
        <v>135502.03924112508</v>
      </c>
      <c r="I9" s="15">
        <f>I8*(1+IFERROR(AVERAGEIFS(Assets!$D$3:$D$51,Assets!$G$3:$G$51,"Taxable")/100,Settings!$B$11/100))+MAX(0,H9)-N9</f>
        <v>1160058.4573763618</v>
      </c>
      <c r="J9" s="15">
        <f>J8*(1+IFERROR(AVERAGEIFS(Assets!$D$3:$D$51,Assets!$G$3:$G$51,"Pre-Tax")/100,Settings!$B$11/100))-O9</f>
        <v>300146.07036980015</v>
      </c>
      <c r="K9" s="15">
        <f>K8*(1+IFERROR(AVERAGEIFS(Assets!$D$3:$D$51,Assets!$G$3:$G$51,"Tax-Free")/100,Settings!$B$11/100))-P9</f>
        <v>284696.77916159999</v>
      </c>
      <c r="L9" s="15">
        <f t="shared" si="1"/>
        <v>1744901.3069077618</v>
      </c>
      <c r="M9" s="15">
        <f t="shared" si="2"/>
        <v>0</v>
      </c>
      <c r="N9" s="15">
        <f>MIN(M9,I8*(1+IFERROR(AVERAGEIFS(Assets!$D$3:$D$51,Assets!$G$3:$G$51,"Taxable")/100,Settings!$B$11/100)))</f>
        <v>0</v>
      </c>
      <c r="O9" s="15">
        <f>IF(B9&gt;=59.5,MIN(M9-N9,J8*(1+IFERROR(AVERAGEIFS(Assets!$D$3:$D$51,Assets!$G$3:$G$51,"Pre-Tax")/100,Settings!$B$11/100))),0)</f>
        <v>0</v>
      </c>
      <c r="P9" s="15">
        <f>MIN(M9-N9-O9,K8*(1+IFERROR(AVERAGEIFS(Assets!$D$3:$D$51,Assets!$G$3:$G$51,"Tax-Free")/100,Settings!$B$11/100)))</f>
        <v>0</v>
      </c>
      <c r="Q9" s="15">
        <f t="shared" si="3"/>
        <v>0</v>
      </c>
      <c r="R9" s="15">
        <f>L9+SUMIF(Assets!$H$3:$H$51,"Real Estate",Assets!$C$3:$C$51)-SUM(Liabilities!$D$3:$D$52)</f>
        <v>1469901.3069077618</v>
      </c>
      <c r="S9" s="15">
        <f>F9/(Settings!$B$10/100)</f>
        <v>3563887.8894501068</v>
      </c>
      <c r="T9" s="15">
        <f>S9/((1+Settings!$B$11/100)^MAX(0,Settings!$B$5-B9))</f>
        <v>1693177.4634107056</v>
      </c>
      <c r="U9" t="str">
        <f t="shared" si="4"/>
        <v>🌊 Coast FI</v>
      </c>
      <c r="V9" s="1">
        <f t="shared" si="5"/>
        <v>0.38010688354368843</v>
      </c>
    </row>
    <row r="10" spans="1:22" x14ac:dyDescent="0.35">
      <c r="A10">
        <v>2031</v>
      </c>
      <c r="B10">
        <f t="shared" si="6"/>
        <v>45</v>
      </c>
      <c r="C10" s="15">
        <f>SUMPRODUCT((Income!$E$3:$E$49&lt;=A10)*(Income!$F$3:$F$49&gt;=A10)*(Income!$C$3:$C$49)*(1+Income!$D$3:$D$49/100)^(A10-Income!$E$3:$E$49))</f>
        <v>368960.98620230623</v>
      </c>
      <c r="D10" s="15">
        <f>C10*(Settings!$B$7/100)</f>
        <v>81171.416964507371</v>
      </c>
      <c r="E10" s="15">
        <f t="shared" si="0"/>
        <v>287789.56923779886</v>
      </c>
      <c r="F10" s="15">
        <f>IF('Simple Budget'!$B$2="Yes",SUMPRODUCT(('Simple Budget'!$E$4:$E$50&lt;=A10)*('Simple Budget'!$F$4:$F$50&gt;=A10)*('Simple Budget'!$B$4:$B$50)*(1+'Simple Budget'!$C$4:$C$50/100)^(A10-'Simple Budget'!$E$4:$E$50)),SUMPRODUCT(('Detailed Budget'!$E$3:$E$105&lt;=A10)*('Detailed Budget'!$F$3:$F$105&gt;=A10)*('Detailed Budget'!$C$3:$C$105)*12*(1+Settings!$B$9/100)^(A10-2024)))</f>
        <v>146404.18494017652</v>
      </c>
      <c r="G10" s="23">
        <v>0</v>
      </c>
      <c r="H10" s="15">
        <f t="shared" si="7"/>
        <v>141385.38429762234</v>
      </c>
      <c r="I10" s="15">
        <f>I9*(1+IFERROR(AVERAGEIFS(Assets!$D$3:$D$51,Assets!$G$3:$G$51,"Taxable")/100,Settings!$B$11/100))+MAX(0,H10)-N10</f>
        <v>1336245.5953952752</v>
      </c>
      <c r="J10" s="15">
        <f>J9*(1+IFERROR(AVERAGEIFS(Assets!$D$3:$D$51,Assets!$G$3:$G$51,"Pre-Tax")/100,Settings!$B$11/100))-O10</f>
        <v>321156.29529568617</v>
      </c>
      <c r="K10" s="15">
        <f>K9*(1+IFERROR(AVERAGEIFS(Assets!$D$3:$D$51,Assets!$G$3:$G$51,"Tax-Free")/100,Settings!$B$11/100))-P10</f>
        <v>296084.65032806399</v>
      </c>
      <c r="L10" s="15">
        <f t="shared" si="1"/>
        <v>1953486.5410190253</v>
      </c>
      <c r="M10" s="15">
        <f t="shared" si="2"/>
        <v>0</v>
      </c>
      <c r="N10" s="15">
        <f>MIN(M10,I9*(1+IFERROR(AVERAGEIFS(Assets!$D$3:$D$51,Assets!$G$3:$G$51,"Taxable")/100,Settings!$B$11/100)))</f>
        <v>0</v>
      </c>
      <c r="O10" s="15">
        <f>IF(B10&gt;=59.5,MIN(M10-N10,J9*(1+IFERROR(AVERAGEIFS(Assets!$D$3:$D$51,Assets!$G$3:$G$51,"Pre-Tax")/100,Settings!$B$11/100))),0)</f>
        <v>0</v>
      </c>
      <c r="P10" s="15">
        <f>MIN(M10-N10-O10,K9*(1+IFERROR(AVERAGEIFS(Assets!$D$3:$D$51,Assets!$G$3:$G$51,"Tax-Free")/100,Settings!$B$11/100)))</f>
        <v>0</v>
      </c>
      <c r="Q10" s="15">
        <f t="shared" si="3"/>
        <v>0</v>
      </c>
      <c r="R10" s="15">
        <f>L10+SUMIF(Assets!$H$3:$H$51,"Real Estate",Assets!$C$3:$C$51)-SUM(Liabilities!$D$3:$D$52)</f>
        <v>1678486.5410190253</v>
      </c>
      <c r="S10" s="15">
        <f>F10/(Settings!$B$10/100)</f>
        <v>3660104.6235044128</v>
      </c>
      <c r="T10" s="15">
        <f>S10/((1+Settings!$B$11/100)^MAX(0,Settings!$B$5-B10))</f>
        <v>1860611.594497476</v>
      </c>
      <c r="U10" t="str">
        <f t="shared" si="4"/>
        <v>🌊 Coast FI</v>
      </c>
      <c r="V10" s="1">
        <f t="shared" si="5"/>
        <v>0.38319873803703147</v>
      </c>
    </row>
    <row r="11" spans="1:22" x14ac:dyDescent="0.35">
      <c r="A11">
        <v>2032</v>
      </c>
      <c r="B11">
        <f t="shared" si="6"/>
        <v>46</v>
      </c>
      <c r="C11" s="15">
        <f>SUMPRODUCT((Income!$E$3:$E$49&lt;=A11)*(Income!$F$3:$F$49&gt;=A11)*(Income!$C$3:$C$49)*(1+Income!$D$3:$D$49/100)^(A11-Income!$E$3:$E$49))</f>
        <v>381874.62071938685</v>
      </c>
      <c r="D11" s="15">
        <f>C11*(Settings!$B$7/100)</f>
        <v>84012.416558265104</v>
      </c>
      <c r="E11" s="15">
        <f t="shared" si="0"/>
        <v>297862.20416112174</v>
      </c>
      <c r="F11" s="15">
        <f>IF('Simple Budget'!$B$2="Yes",SUMPRODUCT(('Simple Budget'!$E$4:$E$50&lt;=A11)*('Simple Budget'!$F$4:$F$50&gt;=A11)*('Simple Budget'!$B$4:$B$50)*(1+'Simple Budget'!$C$4:$C$50/100)^(A11-'Simple Budget'!$E$4:$E$50)),SUMPRODUCT(('Detailed Budget'!$E$3:$E$105&lt;=A11)*('Detailed Budget'!$F$3:$F$105&gt;=A11)*('Detailed Budget'!$C$3:$C$105)*12*(1+Settings!$B$9/100)^(A11-2024)))</f>
        <v>150796.31048838183</v>
      </c>
      <c r="G11" s="23">
        <v>0</v>
      </c>
      <c r="H11" s="15">
        <f t="shared" si="7"/>
        <v>147065.89367273991</v>
      </c>
      <c r="I11" s="15">
        <f>I10*(1+IFERROR(AVERAGEIFS(Assets!$D$3:$D$51,Assets!$G$3:$G$51,"Taxable")/100,Settings!$B$11/100))+MAX(0,H11)-N11</f>
        <v>1523398.8569298733</v>
      </c>
      <c r="J11" s="15">
        <f>J10*(1+IFERROR(AVERAGEIFS(Assets!$D$3:$D$51,Assets!$G$3:$G$51,"Pre-Tax")/100,Settings!$B$11/100))-O11</f>
        <v>343637.23596638424</v>
      </c>
      <c r="K11" s="15">
        <f>K10*(1+IFERROR(AVERAGEIFS(Assets!$D$3:$D$51,Assets!$G$3:$G$51,"Tax-Free")/100,Settings!$B$11/100))-P11</f>
        <v>307928.03634118655</v>
      </c>
      <c r="L11" s="15">
        <f t="shared" si="1"/>
        <v>2174964.1292374441</v>
      </c>
      <c r="M11" s="15">
        <f t="shared" si="2"/>
        <v>0</v>
      </c>
      <c r="N11" s="15">
        <f>MIN(M11,I10*(1+IFERROR(AVERAGEIFS(Assets!$D$3:$D$51,Assets!$G$3:$G$51,"Taxable")/100,Settings!$B$11/100)))</f>
        <v>0</v>
      </c>
      <c r="O11" s="15">
        <f>IF(B11&gt;=59.5,MIN(M11-N11,J10*(1+IFERROR(AVERAGEIFS(Assets!$D$3:$D$51,Assets!$G$3:$G$51,"Pre-Tax")/100,Settings!$B$11/100))),0)</f>
        <v>0</v>
      </c>
      <c r="P11" s="15">
        <f>MIN(M11-N11-O11,K10*(1+IFERROR(AVERAGEIFS(Assets!$D$3:$D$51,Assets!$G$3:$G$51,"Tax-Free")/100,Settings!$B$11/100)))</f>
        <v>0</v>
      </c>
      <c r="Q11" s="15">
        <f t="shared" si="3"/>
        <v>0</v>
      </c>
      <c r="R11" s="15">
        <f>L11+SUMIF(Assets!$H$3:$H$51,"Real Estate",Assets!$C$3:$C$51)-SUM(Liabilities!$D$3:$D$52)</f>
        <v>1899964.1292374441</v>
      </c>
      <c r="S11" s="15">
        <f>F11/(Settings!$B$10/100)</f>
        <v>3769907.7622095458</v>
      </c>
      <c r="T11" s="15">
        <f>S11/((1+Settings!$B$11/100)^MAX(0,Settings!$B$5-B11))</f>
        <v>2050580.0382956685</v>
      </c>
      <c r="U11" t="str">
        <f t="shared" si="4"/>
        <v>🌊 Coast FI</v>
      </c>
      <c r="V11" s="1">
        <f t="shared" si="5"/>
        <v>0.38511565234603123</v>
      </c>
    </row>
    <row r="12" spans="1:22" x14ac:dyDescent="0.35">
      <c r="A12">
        <v>2033</v>
      </c>
      <c r="B12">
        <f t="shared" si="6"/>
        <v>47</v>
      </c>
      <c r="C12" s="15">
        <f>SUMPRODUCT((Income!$E$3:$E$49&lt;=A12)*(Income!$F$3:$F$49&gt;=A12)*(Income!$C$3:$C$49)*(1+Income!$D$3:$D$49/100)^(A12-Income!$E$3:$E$49))</f>
        <v>395240.23244456528</v>
      </c>
      <c r="D12" s="15">
        <f>C12*(Settings!$B$7/100)</f>
        <v>86952.851137804362</v>
      </c>
      <c r="E12" s="15">
        <f t="shared" si="0"/>
        <v>308287.38130676094</v>
      </c>
      <c r="F12" s="15">
        <f>IF('Simple Budget'!$B$2="Yes",SUMPRODUCT(('Simple Budget'!$E$4:$E$50&lt;=A12)*('Simple Budget'!$F$4:$F$50&gt;=A12)*('Simple Budget'!$B$4:$B$50)*(1+'Simple Budget'!$C$4:$C$50/100)^(A12-'Simple Budget'!$E$4:$E$50)),SUMPRODUCT(('Detailed Budget'!$E$3:$E$105&lt;=A12)*('Detailed Budget'!$F$3:$F$105&gt;=A12)*('Detailed Budget'!$C$3:$C$105)*12*(1+Settings!$B$9/100)^(A12-2024)))</f>
        <v>155320.19980303326</v>
      </c>
      <c r="G12" s="23">
        <v>0</v>
      </c>
      <c r="H12" s="15">
        <f t="shared" si="7"/>
        <v>152967.18150372768</v>
      </c>
      <c r="I12" s="15">
        <f>I11*(1+IFERROR(AVERAGEIFS(Assets!$D$3:$D$51,Assets!$G$3:$G$51,"Taxable")/100,Settings!$B$11/100))+MAX(0,H12)-N12</f>
        <v>1722068.0041414974</v>
      </c>
      <c r="J12" s="15">
        <f>J11*(1+IFERROR(AVERAGEIFS(Assets!$D$3:$D$51,Assets!$G$3:$G$51,"Pre-Tax")/100,Settings!$B$11/100))-O12</f>
        <v>367691.84248403116</v>
      </c>
      <c r="K12" s="15">
        <f>K11*(1+IFERROR(AVERAGEIFS(Assets!$D$3:$D$51,Assets!$G$3:$G$51,"Tax-Free")/100,Settings!$B$11/100))-P12</f>
        <v>320245.15779483406</v>
      </c>
      <c r="L12" s="15">
        <f t="shared" si="1"/>
        <v>2410005.0044203624</v>
      </c>
      <c r="M12" s="15">
        <f t="shared" si="2"/>
        <v>0</v>
      </c>
      <c r="N12" s="15">
        <f>MIN(M12,I11*(1+IFERROR(AVERAGEIFS(Assets!$D$3:$D$51,Assets!$G$3:$G$51,"Taxable")/100,Settings!$B$11/100)))</f>
        <v>0</v>
      </c>
      <c r="O12" s="15">
        <f>IF(B12&gt;=59.5,MIN(M12-N12,J11*(1+IFERROR(AVERAGEIFS(Assets!$D$3:$D$51,Assets!$G$3:$G$51,"Pre-Tax")/100,Settings!$B$11/100))),0)</f>
        <v>0</v>
      </c>
      <c r="P12" s="15">
        <f>MIN(M12-N12-O12,K11*(1+IFERROR(AVERAGEIFS(Assets!$D$3:$D$51,Assets!$G$3:$G$51,"Tax-Free")/100,Settings!$B$11/100)))</f>
        <v>0</v>
      </c>
      <c r="Q12" s="15">
        <f t="shared" si="3"/>
        <v>0</v>
      </c>
      <c r="R12" s="15">
        <f>L12+SUMIF(Assets!$H$3:$H$51,"Real Estate",Assets!$C$3:$C$51)-SUM(Liabilities!$D$3:$D$52)</f>
        <v>2135005.0044203624</v>
      </c>
      <c r="S12" s="15">
        <f>F12/(Settings!$B$10/100)</f>
        <v>3883004.9950758317</v>
      </c>
      <c r="T12" s="15">
        <f>S12/((1+Settings!$B$11/100)^MAX(0,Settings!$B$5-B12))</f>
        <v>2259944.2602056563</v>
      </c>
      <c r="U12" t="str">
        <f t="shared" si="4"/>
        <v>🌊 Coast FI</v>
      </c>
      <c r="V12" s="1">
        <f t="shared" si="5"/>
        <v>0.38702330619943204</v>
      </c>
    </row>
    <row r="13" spans="1:22" x14ac:dyDescent="0.35">
      <c r="A13">
        <v>2034</v>
      </c>
      <c r="B13">
        <f t="shared" si="6"/>
        <v>48</v>
      </c>
      <c r="C13" s="15">
        <f>SUMPRODUCT((Income!$E$3:$E$49&lt;=A13)*(Income!$F$3:$F$49&gt;=A13)*(Income!$C$3:$C$49)*(1+Income!$D$3:$D$49/100)^(A13-Income!$E$3:$E$49))</f>
        <v>409073.64058012504</v>
      </c>
      <c r="D13" s="15">
        <f>C13*(Settings!$B$7/100)</f>
        <v>89996.200927627506</v>
      </c>
      <c r="E13" s="15">
        <f t="shared" si="0"/>
        <v>319077.43965249753</v>
      </c>
      <c r="F13" s="15">
        <f>IF('Simple Budget'!$B$2="Yes",SUMPRODUCT(('Simple Budget'!$E$4:$E$50&lt;=A13)*('Simple Budget'!$F$4:$F$50&gt;=A13)*('Simple Budget'!$B$4:$B$50)*(1+'Simple Budget'!$C$4:$C$50/100)^(A13-'Simple Budget'!$E$4:$E$50)),SUMPRODUCT(('Detailed Budget'!$E$3:$E$105&lt;=A13)*('Detailed Budget'!$F$3:$F$105&gt;=A13)*('Detailed Budget'!$C$3:$C$105)*12*(1+Settings!$B$9/100)^(A13-2024)))</f>
        <v>130144.86217568476</v>
      </c>
      <c r="G13" s="23">
        <v>0</v>
      </c>
      <c r="H13" s="15">
        <f t="shared" si="7"/>
        <v>188932.57747681276</v>
      </c>
      <c r="I13" s="15">
        <f>I12*(1+IFERROR(AVERAGEIFS(Assets!$D$3:$D$51,Assets!$G$3:$G$51,"Taxable")/100,Settings!$B$11/100))+MAX(0,H13)-N13</f>
        <v>1962662.6217425552</v>
      </c>
      <c r="J13" s="15">
        <f>J12*(1+IFERROR(AVERAGEIFS(Assets!$D$3:$D$51,Assets!$G$3:$G$51,"Pre-Tax")/100,Settings!$B$11/100))-O13</f>
        <v>393430.27145791339</v>
      </c>
      <c r="K13" s="15">
        <f>K12*(1+IFERROR(AVERAGEIFS(Assets!$D$3:$D$51,Assets!$G$3:$G$51,"Tax-Free")/100,Settings!$B$11/100))-P13</f>
        <v>333054.96410662745</v>
      </c>
      <c r="L13" s="15">
        <f t="shared" si="1"/>
        <v>2689147.857307096</v>
      </c>
      <c r="M13" s="15">
        <f t="shared" si="2"/>
        <v>0</v>
      </c>
      <c r="N13" s="15">
        <f>MIN(M13,I12*(1+IFERROR(AVERAGEIFS(Assets!$D$3:$D$51,Assets!$G$3:$G$51,"Taxable")/100,Settings!$B$11/100)))</f>
        <v>0</v>
      </c>
      <c r="O13" s="15">
        <f>IF(B13&gt;=59.5,MIN(M13-N13,J12*(1+IFERROR(AVERAGEIFS(Assets!$D$3:$D$51,Assets!$G$3:$G$51,"Pre-Tax")/100,Settings!$B$11/100))),0)</f>
        <v>0</v>
      </c>
      <c r="P13" s="15">
        <f>MIN(M13-N13-O13,K12*(1+IFERROR(AVERAGEIFS(Assets!$D$3:$D$51,Assets!$G$3:$G$51,"Tax-Free")/100,Settings!$B$11/100)))</f>
        <v>0</v>
      </c>
      <c r="Q13" s="15">
        <f t="shared" si="3"/>
        <v>0</v>
      </c>
      <c r="R13" s="15">
        <f>L13+SUMIF(Assets!$H$3:$H$51,"Real Estate",Assets!$C$3:$C$51)-SUM(Liabilities!$D$3:$D$52)</f>
        <v>2414147.857307096</v>
      </c>
      <c r="S13" s="15">
        <f>F13/(Settings!$B$10/100)</f>
        <v>3253621.5543921189</v>
      </c>
      <c r="T13" s="15">
        <f>S13/((1+Settings!$B$11/100)^MAX(0,Settings!$B$5-B13))</f>
        <v>2026191.9831878343</v>
      </c>
      <c r="U13" t="str">
        <f t="shared" si="4"/>
        <v>🌊 Coast FI</v>
      </c>
      <c r="V13" s="1">
        <f t="shared" si="5"/>
        <v>0.46185468515859224</v>
      </c>
    </row>
    <row r="14" spans="1:22" x14ac:dyDescent="0.35">
      <c r="A14">
        <v>2035</v>
      </c>
      <c r="B14">
        <f t="shared" si="6"/>
        <v>49</v>
      </c>
      <c r="C14" s="15">
        <f>SUMPRODUCT((Income!$E$3:$E$49&lt;=A14)*(Income!$F$3:$F$49&gt;=A14)*(Income!$C$3:$C$49)*(1+Income!$D$3:$D$49/100)^(A14-Income!$E$3:$E$49))</f>
        <v>423391.21800042945</v>
      </c>
      <c r="D14" s="15">
        <f>C14*(Settings!$B$7/100)</f>
        <v>93146.067960094486</v>
      </c>
      <c r="E14" s="15">
        <f t="shared" si="0"/>
        <v>330245.15004033496</v>
      </c>
      <c r="F14" s="15">
        <f>IF('Simple Budget'!$B$2="Yes",SUMPRODUCT(('Simple Budget'!$E$4:$E$50&lt;=A14)*('Simple Budget'!$F$4:$F$50&gt;=A14)*('Simple Budget'!$B$4:$B$50)*(1+'Simple Budget'!$C$4:$C$50/100)^(A14-'Simple Budget'!$E$4:$E$50)),SUMPRODUCT(('Detailed Budget'!$E$3:$E$105&lt;=A14)*('Detailed Budget'!$F$3:$F$105&gt;=A14)*('Detailed Budget'!$C$3:$C$105)*12*(1+Settings!$B$9/100)^(A14-2024)))</f>
        <v>134049.2080409553</v>
      </c>
      <c r="G14" s="23">
        <v>0</v>
      </c>
      <c r="H14" s="15">
        <f t="shared" si="7"/>
        <v>196195.94199937966</v>
      </c>
      <c r="I14" s="15">
        <f>I13*(1+IFERROR(AVERAGEIFS(Assets!$D$3:$D$51,Assets!$G$3:$G$51,"Taxable")/100,Settings!$B$11/100))+MAX(0,H14)-N14</f>
        <v>2217738.4423942114</v>
      </c>
      <c r="J14" s="15">
        <f>J13*(1+IFERROR(AVERAGEIFS(Assets!$D$3:$D$51,Assets!$G$3:$G$51,"Pre-Tax")/100,Settings!$B$11/100))-O14</f>
        <v>420970.39045996737</v>
      </c>
      <c r="K14" s="15">
        <f>K13*(1+IFERROR(AVERAGEIFS(Assets!$D$3:$D$51,Assets!$G$3:$G$51,"Tax-Free")/100,Settings!$B$11/100))-P14</f>
        <v>346377.16267089255</v>
      </c>
      <c r="L14" s="15">
        <f t="shared" si="1"/>
        <v>2985085.9955250714</v>
      </c>
      <c r="M14" s="15">
        <f t="shared" si="2"/>
        <v>0</v>
      </c>
      <c r="N14" s="15">
        <f>MIN(M14,I13*(1+IFERROR(AVERAGEIFS(Assets!$D$3:$D$51,Assets!$G$3:$G$51,"Taxable")/100,Settings!$B$11/100)))</f>
        <v>0</v>
      </c>
      <c r="O14" s="15">
        <f>IF(B14&gt;=59.5,MIN(M14-N14,J13*(1+IFERROR(AVERAGEIFS(Assets!$D$3:$D$51,Assets!$G$3:$G$51,"Pre-Tax")/100,Settings!$B$11/100))),0)</f>
        <v>0</v>
      </c>
      <c r="P14" s="15">
        <f>MIN(M14-N14-O14,K13*(1+IFERROR(AVERAGEIFS(Assets!$D$3:$D$51,Assets!$G$3:$G$51,"Tax-Free")/100,Settings!$B$11/100)))</f>
        <v>0</v>
      </c>
      <c r="Q14" s="15">
        <f t="shared" si="3"/>
        <v>0</v>
      </c>
      <c r="R14" s="15">
        <f>L14+SUMIF(Assets!$H$3:$H$51,"Real Estate",Assets!$C$3:$C$51)-SUM(Liabilities!$D$3:$D$52)</f>
        <v>2710085.9955250714</v>
      </c>
      <c r="S14" s="15">
        <f>F14/(Settings!$B$10/100)</f>
        <v>3351230.2010238823</v>
      </c>
      <c r="T14" s="15">
        <f>S14/((1+Settings!$B$11/100)^MAX(0,Settings!$B$5-B14))</f>
        <v>2233066.1846713121</v>
      </c>
      <c r="U14" t="str">
        <f t="shared" si="4"/>
        <v>🌊 Coast FI</v>
      </c>
      <c r="V14" s="1">
        <f t="shared" si="5"/>
        <v>0.463391619046715</v>
      </c>
    </row>
    <row r="15" spans="1:22" x14ac:dyDescent="0.35">
      <c r="A15">
        <v>2036</v>
      </c>
      <c r="B15">
        <f t="shared" si="6"/>
        <v>50</v>
      </c>
      <c r="C15" s="15">
        <f>SUMPRODUCT((Income!$E$3:$E$49&lt;=A15)*(Income!$F$3:$F$49&gt;=A15)*(Income!$C$3:$C$49)*(1+Income!$D$3:$D$49/100)^(A15-Income!$E$3:$E$49))</f>
        <v>438209.91063044453</v>
      </c>
      <c r="D15" s="15">
        <f>C15*(Settings!$B$7/100)</f>
        <v>96406.180338697799</v>
      </c>
      <c r="E15" s="15">
        <f t="shared" si="0"/>
        <v>341803.73029174673</v>
      </c>
      <c r="F15" s="15">
        <f>IF('Simple Budget'!$B$2="Yes",SUMPRODUCT(('Simple Budget'!$E$4:$E$50&lt;=A15)*('Simple Budget'!$F$4:$F$50&gt;=A15)*('Simple Budget'!$B$4:$B$50)*(1+'Simple Budget'!$C$4:$C$50/100)^(A15-'Simple Budget'!$E$4:$E$50)),SUMPRODUCT(('Detailed Budget'!$E$3:$E$105&lt;=A15)*('Detailed Budget'!$F$3:$F$105&gt;=A15)*('Detailed Budget'!$C$3:$C$105)*12*(1+Settings!$B$9/100)^(A15-2024)))</f>
        <v>138070.68428218397</v>
      </c>
      <c r="G15" s="23">
        <v>0</v>
      </c>
      <c r="H15" s="15">
        <f t="shared" si="7"/>
        <v>203733.04600956276</v>
      </c>
      <c r="I15" s="15">
        <f>I14*(1+IFERROR(AVERAGEIFS(Assets!$D$3:$D$51,Assets!$G$3:$G$51,"Taxable")/100,Settings!$B$11/100))+MAX(0,H15)-N15</f>
        <v>2488003.6416756008</v>
      </c>
      <c r="J15" s="15">
        <f>J14*(1+IFERROR(AVERAGEIFS(Assets!$D$3:$D$51,Assets!$G$3:$G$51,"Pre-Tax")/100,Settings!$B$11/100))-O15</f>
        <v>450438.31779216509</v>
      </c>
      <c r="K15" s="15">
        <f>K14*(1+IFERROR(AVERAGEIFS(Assets!$D$3:$D$51,Assets!$G$3:$G$51,"Tax-Free")/100,Settings!$B$11/100))-P15</f>
        <v>360232.24917772826</v>
      </c>
      <c r="L15" s="15">
        <f t="shared" si="1"/>
        <v>3298674.2086454942</v>
      </c>
      <c r="M15" s="15">
        <f t="shared" si="2"/>
        <v>0</v>
      </c>
      <c r="N15" s="15">
        <f>MIN(M15,I14*(1+IFERROR(AVERAGEIFS(Assets!$D$3:$D$51,Assets!$G$3:$G$51,"Taxable")/100,Settings!$B$11/100)))</f>
        <v>0</v>
      </c>
      <c r="O15" s="15">
        <f>IF(B15&gt;=59.5,MIN(M15-N15,J14*(1+IFERROR(AVERAGEIFS(Assets!$D$3:$D$51,Assets!$G$3:$G$51,"Pre-Tax")/100,Settings!$B$11/100))),0)</f>
        <v>0</v>
      </c>
      <c r="P15" s="15">
        <f>MIN(M15-N15-O15,K14*(1+IFERROR(AVERAGEIFS(Assets!$D$3:$D$51,Assets!$G$3:$G$51,"Tax-Free")/100,Settings!$B$11/100)))</f>
        <v>0</v>
      </c>
      <c r="Q15" s="15">
        <f t="shared" si="3"/>
        <v>0</v>
      </c>
      <c r="R15" s="15">
        <f>L15+SUMIF(Assets!$H$3:$H$51,"Real Estate",Assets!$C$3:$C$51)-SUM(Liabilities!$D$3:$D$52)</f>
        <v>3023674.2086454942</v>
      </c>
      <c r="S15" s="15">
        <f>F15/(Settings!$B$10/100)</f>
        <v>3451767.1070545991</v>
      </c>
      <c r="T15" s="15">
        <f>S15/((1+Settings!$B$11/100)^MAX(0,Settings!$B$5-B15))</f>
        <v>2461062.242126253</v>
      </c>
      <c r="U15" t="str">
        <f t="shared" si="4"/>
        <v>🌊 Coast FI</v>
      </c>
      <c r="V15" s="1">
        <f t="shared" si="5"/>
        <v>0.46492112813344588</v>
      </c>
    </row>
    <row r="16" spans="1:22" x14ac:dyDescent="0.35">
      <c r="A16">
        <v>2037</v>
      </c>
      <c r="B16">
        <f t="shared" si="6"/>
        <v>51</v>
      </c>
      <c r="C16" s="15">
        <f>SUMPRODUCT((Income!$E$3:$E$49&lt;=A16)*(Income!$F$3:$F$49&gt;=A16)*(Income!$C$3:$C$49)*(1+Income!$D$3:$D$49/100)^(A16-Income!$E$3:$E$49))</f>
        <v>453547.25750250998</v>
      </c>
      <c r="D16" s="15">
        <f>C16*(Settings!$B$7/100)</f>
        <v>99780.396650552197</v>
      </c>
      <c r="E16" s="15">
        <f t="shared" si="0"/>
        <v>353766.86085195781</v>
      </c>
      <c r="F16" s="15">
        <f>IF('Simple Budget'!$B$2="Yes",SUMPRODUCT(('Simple Budget'!$E$4:$E$50&lt;=A16)*('Simple Budget'!$F$4:$F$50&gt;=A16)*('Simple Budget'!$B$4:$B$50)*(1+'Simple Budget'!$C$4:$C$50/100)^(A16-'Simple Budget'!$E$4:$E$50)),SUMPRODUCT(('Detailed Budget'!$E$3:$E$105&lt;=A16)*('Detailed Budget'!$F$3:$F$105&gt;=A16)*('Detailed Budget'!$C$3:$C$105)*12*(1+Settings!$B$9/100)^(A16-2024)))</f>
        <v>142212.80481064945</v>
      </c>
      <c r="G16" s="23">
        <v>0</v>
      </c>
      <c r="H16" s="15">
        <f t="shared" si="7"/>
        <v>211554.05604130836</v>
      </c>
      <c r="I16" s="15">
        <f>I15*(1+IFERROR(AVERAGEIFS(Assets!$D$3:$D$51,Assets!$G$3:$G$51,"Taxable")/100,Settings!$B$11/100))+MAX(0,H16)-N16</f>
        <v>2774197.806967177</v>
      </c>
      <c r="J16" s="15">
        <f>J15*(1+IFERROR(AVERAGEIFS(Assets!$D$3:$D$51,Assets!$G$3:$G$51,"Pre-Tax")/100,Settings!$B$11/100))-O16</f>
        <v>481969.0000376167</v>
      </c>
      <c r="K16" s="15">
        <f>K15*(1+IFERROR(AVERAGEIFS(Assets!$D$3:$D$51,Assets!$G$3:$G$51,"Tax-Free")/100,Settings!$B$11/100))-P16</f>
        <v>374641.53914483741</v>
      </c>
      <c r="L16" s="15">
        <f t="shared" si="1"/>
        <v>3630808.3461496308</v>
      </c>
      <c r="M16" s="15">
        <f t="shared" si="2"/>
        <v>0</v>
      </c>
      <c r="N16" s="15">
        <f>MIN(M16,I15*(1+IFERROR(AVERAGEIFS(Assets!$D$3:$D$51,Assets!$G$3:$G$51,"Taxable")/100,Settings!$B$11/100)))</f>
        <v>0</v>
      </c>
      <c r="O16" s="15">
        <f>IF(B16&gt;=59.5,MIN(M16-N16,J15*(1+IFERROR(AVERAGEIFS(Assets!$D$3:$D$51,Assets!$G$3:$G$51,"Pre-Tax")/100,Settings!$B$11/100))),0)</f>
        <v>0</v>
      </c>
      <c r="P16" s="15">
        <f>MIN(M16-N16-O16,K15*(1+IFERROR(AVERAGEIFS(Assets!$D$3:$D$51,Assets!$G$3:$G$51,"Tax-Free")/100,Settings!$B$11/100)))</f>
        <v>0</v>
      </c>
      <c r="Q16" s="15">
        <f t="shared" si="3"/>
        <v>0</v>
      </c>
      <c r="R16" s="15">
        <f>L16+SUMIF(Assets!$H$3:$H$51,"Real Estate",Assets!$C$3:$C$51)-SUM(Liabilities!$D$3:$D$52)</f>
        <v>3355808.3461496308</v>
      </c>
      <c r="S16" s="15">
        <f>F16/(Settings!$B$10/100)</f>
        <v>3555320.1202662364</v>
      </c>
      <c r="T16" s="15">
        <f>S16/((1+Settings!$B$11/100)^MAX(0,Settings!$B$5-B16))</f>
        <v>2712336.6970473435</v>
      </c>
      <c r="U16" t="str">
        <f t="shared" si="4"/>
        <v>🔥 FI Reached</v>
      </c>
      <c r="V16" s="1">
        <f t="shared" si="5"/>
        <v>0.46644324828739064</v>
      </c>
    </row>
    <row r="17" spans="1:22" x14ac:dyDescent="0.35">
      <c r="A17">
        <v>2038</v>
      </c>
      <c r="B17">
        <f t="shared" si="6"/>
        <v>52</v>
      </c>
      <c r="C17" s="15">
        <f>SUMPRODUCT((Income!$E$3:$E$49&lt;=A17)*(Income!$F$3:$F$49&gt;=A17)*(Income!$C$3:$C$49)*(1+Income!$D$3:$D$49/100)^(A17-Income!$E$3:$E$49))</f>
        <v>469421.41151509783</v>
      </c>
      <c r="D17" s="15">
        <f>C17*(Settings!$B$7/100)</f>
        <v>103272.71053332153</v>
      </c>
      <c r="E17" s="15">
        <f t="shared" si="0"/>
        <v>366148.70098177629</v>
      </c>
      <c r="F17" s="15">
        <f>IF('Simple Budget'!$B$2="Yes",SUMPRODUCT(('Simple Budget'!$E$4:$E$50&lt;=A17)*('Simple Budget'!$F$4:$F$50&gt;=A17)*('Simple Budget'!$B$4:$B$50)*(1+'Simple Budget'!$C$4:$C$50/100)^(A17-'Simple Budget'!$E$4:$E$50)),SUMPRODUCT(('Detailed Budget'!$E$3:$E$105&lt;=A17)*('Detailed Budget'!$F$3:$F$105&gt;=A17)*('Detailed Budget'!$C$3:$C$105)*12*(1+Settings!$B$9/100)^(A17-2024)))</f>
        <v>146479.18895496894</v>
      </c>
      <c r="G17" s="23">
        <v>0</v>
      </c>
      <c r="H17" s="15">
        <f t="shared" si="7"/>
        <v>219669.51202680735</v>
      </c>
      <c r="I17" s="15">
        <f>I16*(1+IFERROR(AVERAGEIFS(Assets!$D$3:$D$51,Assets!$G$3:$G$51,"Taxable")/100,Settings!$B$11/100))+MAX(0,H17)-N17</f>
        <v>3077093.2532029995</v>
      </c>
      <c r="J17" s="15">
        <f>J16*(1+IFERROR(AVERAGEIFS(Assets!$D$3:$D$51,Assets!$G$3:$G$51,"Pre-Tax")/100,Settings!$B$11/100))-O17</f>
        <v>515706.83004024992</v>
      </c>
      <c r="K17" s="15">
        <f>K16*(1+IFERROR(AVERAGEIFS(Assets!$D$3:$D$51,Assets!$G$3:$G$51,"Tax-Free")/100,Settings!$B$11/100))-P17</f>
        <v>389627.20071063092</v>
      </c>
      <c r="L17" s="15">
        <f t="shared" si="1"/>
        <v>3982427.2839538804</v>
      </c>
      <c r="M17" s="15">
        <f t="shared" si="2"/>
        <v>0</v>
      </c>
      <c r="N17" s="15">
        <f>MIN(M17,I16*(1+IFERROR(AVERAGEIFS(Assets!$D$3:$D$51,Assets!$G$3:$G$51,"Taxable")/100,Settings!$B$11/100)))</f>
        <v>0</v>
      </c>
      <c r="O17" s="15">
        <f>IF(B17&gt;=59.5,MIN(M17-N17,J16*(1+IFERROR(AVERAGEIFS(Assets!$D$3:$D$51,Assets!$G$3:$G$51,"Pre-Tax")/100,Settings!$B$11/100))),0)</f>
        <v>0</v>
      </c>
      <c r="P17" s="15">
        <f>MIN(M17-N17-O17,K16*(1+IFERROR(AVERAGEIFS(Assets!$D$3:$D$51,Assets!$G$3:$G$51,"Tax-Free")/100,Settings!$B$11/100)))</f>
        <v>0</v>
      </c>
      <c r="Q17" s="15">
        <f t="shared" si="3"/>
        <v>0</v>
      </c>
      <c r="R17" s="15">
        <f>L17+SUMIF(Assets!$H$3:$H$51,"Real Estate",Assets!$C$3:$C$51)-SUM(Liabilities!$D$3:$D$52)</f>
        <v>3707427.2839538804</v>
      </c>
      <c r="S17" s="15">
        <f>F17/(Settings!$B$10/100)</f>
        <v>3661979.7238742234</v>
      </c>
      <c r="T17" s="15">
        <f>S17/((1+Settings!$B$11/100)^MAX(0,Settings!$B$5-B17))</f>
        <v>2989266.2738158768</v>
      </c>
      <c r="U17" t="str">
        <f t="shared" si="4"/>
        <v>🔥 FI Reached</v>
      </c>
      <c r="V17" s="1">
        <f t="shared" si="5"/>
        <v>0.46795801520387659</v>
      </c>
    </row>
    <row r="18" spans="1:22" x14ac:dyDescent="0.35">
      <c r="A18">
        <v>2039</v>
      </c>
      <c r="B18">
        <f t="shared" si="6"/>
        <v>53</v>
      </c>
      <c r="C18" s="15">
        <f>SUMPRODUCT((Income!$E$3:$E$49&lt;=A18)*(Income!$F$3:$F$49&gt;=A18)*(Income!$C$3:$C$49)*(1+Income!$D$3:$D$49/100)^(A18-Income!$E$3:$E$49))</f>
        <v>485851.16091812623</v>
      </c>
      <c r="D18" s="15">
        <f>C18*(Settings!$B$7/100)</f>
        <v>106887.25540198777</v>
      </c>
      <c r="E18" s="15">
        <f t="shared" si="0"/>
        <v>378963.90551613847</v>
      </c>
      <c r="F18" s="15">
        <f>IF('Simple Budget'!$B$2="Yes",SUMPRODUCT(('Simple Budget'!$E$4:$E$50&lt;=A18)*('Simple Budget'!$F$4:$F$50&gt;=A18)*('Simple Budget'!$B$4:$B$50)*(1+'Simple Budget'!$C$4:$C$50/100)^(A18-'Simple Budget'!$E$4:$E$50)),SUMPRODUCT(('Detailed Budget'!$E$3:$E$105&lt;=A18)*('Detailed Budget'!$F$3:$F$105&gt;=A18)*('Detailed Budget'!$C$3:$C$105)*12*(1+Settings!$B$9/100)^(A18-2024)))</f>
        <v>150873.56462361803</v>
      </c>
      <c r="G18" s="23">
        <v>0</v>
      </c>
      <c r="H18" s="15">
        <f t="shared" si="7"/>
        <v>228090.34089252044</v>
      </c>
      <c r="I18" s="15">
        <f>I17*(1+IFERROR(AVERAGEIFS(Assets!$D$3:$D$51,Assets!$G$3:$G$51,"Taxable")/100,Settings!$B$11/100))+MAX(0,H18)-N18</f>
        <v>3397496.3916916098</v>
      </c>
      <c r="J18" s="15">
        <f>J17*(1+IFERROR(AVERAGEIFS(Assets!$D$3:$D$51,Assets!$G$3:$G$51,"Pre-Tax")/100,Settings!$B$11/100))-O18</f>
        <v>551806.30814306741</v>
      </c>
      <c r="K18" s="15">
        <f>K17*(1+IFERROR(AVERAGEIFS(Assets!$D$3:$D$51,Assets!$G$3:$G$51,"Tax-Free")/100,Settings!$B$11/100))-P18</f>
        <v>405212.28873905615</v>
      </c>
      <c r="L18" s="15">
        <f t="shared" si="1"/>
        <v>4354514.9885737337</v>
      </c>
      <c r="M18" s="15">
        <f t="shared" si="2"/>
        <v>0</v>
      </c>
      <c r="N18" s="15">
        <f>MIN(M18,I17*(1+IFERROR(AVERAGEIFS(Assets!$D$3:$D$51,Assets!$G$3:$G$51,"Taxable")/100,Settings!$B$11/100)))</f>
        <v>0</v>
      </c>
      <c r="O18" s="15">
        <f>IF(B18&gt;=59.5,MIN(M18-N18,J17*(1+IFERROR(AVERAGEIFS(Assets!$D$3:$D$51,Assets!$G$3:$G$51,"Pre-Tax")/100,Settings!$B$11/100))),0)</f>
        <v>0</v>
      </c>
      <c r="P18" s="15">
        <f>MIN(M18-N18-O18,K17*(1+IFERROR(AVERAGEIFS(Assets!$D$3:$D$51,Assets!$G$3:$G$51,"Tax-Free")/100,Settings!$B$11/100)))</f>
        <v>0</v>
      </c>
      <c r="Q18" s="15">
        <f t="shared" si="3"/>
        <v>0</v>
      </c>
      <c r="R18" s="15">
        <f>L18+SUMIF(Assets!$H$3:$H$51,"Real Estate",Assets!$C$3:$C$51)-SUM(Liabilities!$D$3:$D$52)</f>
        <v>4079514.9885737337</v>
      </c>
      <c r="S18" s="15">
        <f>F18/(Settings!$B$10/100)</f>
        <v>3771839.1155904508</v>
      </c>
      <c r="T18" s="15">
        <f>S18/((1+Settings!$B$11/100)^MAX(0,Settings!$B$5-B18))</f>
        <v>3294470.3603724786</v>
      </c>
      <c r="U18" t="str">
        <f t="shared" si="4"/>
        <v>🔥 FI Reached</v>
      </c>
      <c r="V18" s="1">
        <f t="shared" si="5"/>
        <v>0.46946546440579023</v>
      </c>
    </row>
    <row r="19" spans="1:22" x14ac:dyDescent="0.35">
      <c r="A19">
        <v>2040</v>
      </c>
      <c r="B19">
        <f t="shared" si="6"/>
        <v>54</v>
      </c>
      <c r="C19" s="15">
        <f>SUMPRODUCT((Income!$E$3:$E$49&lt;=A19)*(Income!$F$3:$F$49&gt;=A19)*(Income!$C$3:$C$49)*(1+Income!$D$3:$D$49/100)^(A19-Income!$E$3:$E$49))</f>
        <v>0</v>
      </c>
      <c r="D19" s="15">
        <f>C19*(Settings!$B$7/100)</f>
        <v>0</v>
      </c>
      <c r="E19" s="15">
        <f t="shared" si="0"/>
        <v>0</v>
      </c>
      <c r="F19" s="15">
        <f>IF('Simple Budget'!$B$2="Yes",SUMPRODUCT(('Simple Budget'!$E$4:$E$50&lt;=A19)*('Simple Budget'!$F$4:$F$50&gt;=A19)*('Simple Budget'!$B$4:$B$50)*(1+'Simple Budget'!$C$4:$C$50/100)^(A19-'Simple Budget'!$E$4:$E$50)),SUMPRODUCT(('Detailed Budget'!$E$3:$E$105&lt;=A19)*('Detailed Budget'!$F$3:$F$105&gt;=A19)*('Detailed Budget'!$C$3:$C$105)*12*(1+Settings!$B$9/100)^(A19-2024)))</f>
        <v>155399.77156232652</v>
      </c>
      <c r="G19" s="23">
        <v>0</v>
      </c>
      <c r="H19" s="15">
        <f t="shared" si="7"/>
        <v>-155399.77156232652</v>
      </c>
      <c r="I19" s="15">
        <f>I18*(1+IFERROR(AVERAGEIFS(Assets!$D$3:$D$51,Assets!$G$3:$G$51,"Taxable")/100,Settings!$B$11/100))+MAX(0,H19)-N19</f>
        <v>3344021.5118800313</v>
      </c>
      <c r="J19" s="15">
        <f>J18*(1+IFERROR(AVERAGEIFS(Assets!$D$3:$D$51,Assets!$G$3:$G$51,"Pre-Tax")/100,Settings!$B$11/100))-O19</f>
        <v>590432.74971308222</v>
      </c>
      <c r="K19" s="15">
        <f>K18*(1+IFERROR(AVERAGEIFS(Assets!$D$3:$D$51,Assets!$G$3:$G$51,"Tax-Free")/100,Settings!$B$11/100))-P19</f>
        <v>421420.78028861841</v>
      </c>
      <c r="L19" s="15">
        <f t="shared" si="1"/>
        <v>4355875.0418817317</v>
      </c>
      <c r="M19" s="15">
        <f t="shared" si="2"/>
        <v>155399.77156232652</v>
      </c>
      <c r="N19" s="15">
        <f>MIN(M19,I18*(1+IFERROR(AVERAGEIFS(Assets!$D$3:$D$51,Assets!$G$3:$G$51,"Taxable")/100,Settings!$B$11/100)))</f>
        <v>155399.77156232652</v>
      </c>
      <c r="O19" s="15">
        <f>IF(B19&gt;=59.5,MIN(M19-N19,J18*(1+IFERROR(AVERAGEIFS(Assets!$D$3:$D$51,Assets!$G$3:$G$51,"Pre-Tax")/100,Settings!$B$11/100))),0)</f>
        <v>0</v>
      </c>
      <c r="P19" s="15">
        <f>MIN(M19-N19-O19,K18*(1+IFERROR(AVERAGEIFS(Assets!$D$3:$D$51,Assets!$G$3:$G$51,"Tax-Free")/100,Settings!$B$11/100)))</f>
        <v>0</v>
      </c>
      <c r="Q19" s="15">
        <f t="shared" si="3"/>
        <v>0</v>
      </c>
      <c r="R19" s="15">
        <f>L19+SUMIF(Assets!$H$3:$H$51,"Real Estate",Assets!$C$3:$C$51)-SUM(Liabilities!$D$3:$D$52)</f>
        <v>4080875.0418817317</v>
      </c>
      <c r="S19" s="15">
        <f>F19/(Settings!$B$10/100)</f>
        <v>3884994.2890581628</v>
      </c>
      <c r="T19" s="15">
        <f>S19/((1+Settings!$B$11/100)^MAX(0,Settings!$B$5-B19))</f>
        <v>3630835.784166507</v>
      </c>
      <c r="U19" t="str">
        <f t="shared" si="4"/>
        <v>🔥 FI Reached</v>
      </c>
      <c r="V19" s="1">
        <f t="shared" si="5"/>
        <v>0</v>
      </c>
    </row>
    <row r="20" spans="1:22" x14ac:dyDescent="0.35">
      <c r="A20">
        <v>2041</v>
      </c>
      <c r="B20">
        <f t="shared" si="6"/>
        <v>55</v>
      </c>
      <c r="C20" s="15">
        <f>SUMPRODUCT((Income!$E$3:$E$49&lt;=A20)*(Income!$F$3:$F$49&gt;=A20)*(Income!$C$3:$C$49)*(1+Income!$D$3:$D$49/100)^(A20-Income!$E$3:$E$49))</f>
        <v>0</v>
      </c>
      <c r="D20" s="15">
        <f>C20*(Settings!$B$7/100)</f>
        <v>0</v>
      </c>
      <c r="E20" s="15">
        <f t="shared" si="0"/>
        <v>0</v>
      </c>
      <c r="F20" s="15">
        <f>IF('Simple Budget'!$B$2="Yes",SUMPRODUCT(('Simple Budget'!$E$4:$E$50&lt;=A20)*('Simple Budget'!$F$4:$F$50&gt;=A20)*('Simple Budget'!$B$4:$B$50)*(1+'Simple Budget'!$C$4:$C$50/100)^(A20-'Simple Budget'!$E$4:$E$50)),SUMPRODUCT(('Detailed Budget'!$E$3:$E$105&lt;=A20)*('Detailed Budget'!$F$3:$F$105&gt;=A20)*('Detailed Budget'!$C$3:$C$105)*12*(1+Settings!$B$9/100)^(A20-2024)))</f>
        <v>160061.76470919634</v>
      </c>
      <c r="G20" s="23">
        <v>0</v>
      </c>
      <c r="H20" s="15">
        <f t="shared" si="7"/>
        <v>-160061.76470919634</v>
      </c>
      <c r="I20" s="15">
        <f>I19*(1+IFERROR(AVERAGEIFS(Assets!$D$3:$D$51,Assets!$G$3:$G$51,"Taxable")/100,Settings!$B$11/100))+MAX(0,H20)-N20</f>
        <v>3284280.3925272357</v>
      </c>
      <c r="J20" s="15">
        <f>J19*(1+IFERROR(AVERAGEIFS(Assets!$D$3:$D$51,Assets!$G$3:$G$51,"Pre-Tax")/100,Settings!$B$11/100))-O20</f>
        <v>631763.04219299799</v>
      </c>
      <c r="K20" s="15">
        <f>K19*(1+IFERROR(AVERAGEIFS(Assets!$D$3:$D$51,Assets!$G$3:$G$51,"Tax-Free")/100,Settings!$B$11/100))-P20</f>
        <v>438277.61150016316</v>
      </c>
      <c r="L20" s="15">
        <f t="shared" si="1"/>
        <v>4354321.0462203966</v>
      </c>
      <c r="M20" s="15">
        <f t="shared" si="2"/>
        <v>160061.76470919634</v>
      </c>
      <c r="N20" s="15">
        <f>MIN(M20,I19*(1+IFERROR(AVERAGEIFS(Assets!$D$3:$D$51,Assets!$G$3:$G$51,"Taxable")/100,Settings!$B$11/100)))</f>
        <v>160061.76470919634</v>
      </c>
      <c r="O20" s="15">
        <f>IF(B20&gt;=59.5,MIN(M20-N20,J19*(1+IFERROR(AVERAGEIFS(Assets!$D$3:$D$51,Assets!$G$3:$G$51,"Pre-Tax")/100,Settings!$B$11/100))),0)</f>
        <v>0</v>
      </c>
      <c r="P20" s="15">
        <f>MIN(M20-N20-O20,K19*(1+IFERROR(AVERAGEIFS(Assets!$D$3:$D$51,Assets!$G$3:$G$51,"Tax-Free")/100,Settings!$B$11/100)))</f>
        <v>0</v>
      </c>
      <c r="Q20" s="15">
        <f t="shared" si="3"/>
        <v>0</v>
      </c>
      <c r="R20" s="15">
        <f>L20+SUMIF(Assets!$H$3:$H$51,"Real Estate",Assets!$C$3:$C$51)-SUM(Liabilities!$D$3:$D$52)</f>
        <v>4079321.0462203966</v>
      </c>
      <c r="S20" s="15">
        <f>F20/(Settings!$B$10/100)</f>
        <v>4001544.1177299083</v>
      </c>
      <c r="T20" s="15">
        <f>S20/((1+Settings!$B$11/100)^MAX(0,Settings!$B$5-B20))</f>
        <v>4001544.1177299083</v>
      </c>
      <c r="U20" t="str">
        <f t="shared" si="4"/>
        <v>🔥 FI Reached</v>
      </c>
      <c r="V20" s="1">
        <f t="shared" si="5"/>
        <v>0</v>
      </c>
    </row>
    <row r="21" spans="1:22" x14ac:dyDescent="0.35">
      <c r="A21">
        <v>2042</v>
      </c>
      <c r="B21">
        <f t="shared" si="6"/>
        <v>56</v>
      </c>
      <c r="C21" s="15">
        <f>SUMPRODUCT((Income!$E$3:$E$49&lt;=A21)*(Income!$F$3:$F$49&gt;=A21)*(Income!$C$3:$C$49)*(1+Income!$D$3:$D$49/100)^(A21-Income!$E$3:$E$49))</f>
        <v>0</v>
      </c>
      <c r="D21" s="15">
        <f>C21*(Settings!$B$7/100)</f>
        <v>0</v>
      </c>
      <c r="E21" s="15">
        <f t="shared" si="0"/>
        <v>0</v>
      </c>
      <c r="F21" s="15">
        <f>IF('Simple Budget'!$B$2="Yes",SUMPRODUCT(('Simple Budget'!$E$4:$E$50&lt;=A21)*('Simple Budget'!$F$4:$F$50&gt;=A21)*('Simple Budget'!$B$4:$B$50)*(1+'Simple Budget'!$C$4:$C$50/100)^(A21-'Simple Budget'!$E$4:$E$50)),SUMPRODUCT(('Detailed Budget'!$E$3:$E$105&lt;=A21)*('Detailed Budget'!$F$3:$F$105&gt;=A21)*('Detailed Budget'!$C$3:$C$105)*12*(1+Settings!$B$9/100)^(A21-2024)))</f>
        <v>164863.61765047221</v>
      </c>
      <c r="G21" s="23">
        <v>0</v>
      </c>
      <c r="H21" s="15">
        <f t="shared" si="7"/>
        <v>-164863.61765047221</v>
      </c>
      <c r="I21" s="15">
        <f>I20*(1+IFERROR(AVERAGEIFS(Assets!$D$3:$D$51,Assets!$G$3:$G$51,"Taxable")/100,Settings!$B$11/100))+MAX(0,H21)-N21</f>
        <v>3217945.1866525807</v>
      </c>
      <c r="J21" s="15">
        <f>J20*(1+IFERROR(AVERAGEIFS(Assets!$D$3:$D$51,Assets!$G$3:$G$51,"Pre-Tax")/100,Settings!$B$11/100))-O21</f>
        <v>675986.45514650794</v>
      </c>
      <c r="K21" s="15">
        <f>K20*(1+IFERROR(AVERAGEIFS(Assets!$D$3:$D$51,Assets!$G$3:$G$51,"Tax-Free")/100,Settings!$B$11/100))-P21</f>
        <v>455808.71596016968</v>
      </c>
      <c r="L21" s="15">
        <f t="shared" si="1"/>
        <v>4349740.3577592578</v>
      </c>
      <c r="M21" s="15">
        <f t="shared" si="2"/>
        <v>164863.61765047221</v>
      </c>
      <c r="N21" s="15">
        <f>MIN(M21,I20*(1+IFERROR(AVERAGEIFS(Assets!$D$3:$D$51,Assets!$G$3:$G$51,"Taxable")/100,Settings!$B$11/100)))</f>
        <v>164863.61765047221</v>
      </c>
      <c r="O21" s="15">
        <f>IF(B21&gt;=59.5,MIN(M21-N21,J20*(1+IFERROR(AVERAGEIFS(Assets!$D$3:$D$51,Assets!$G$3:$G$51,"Pre-Tax")/100,Settings!$B$11/100))),0)</f>
        <v>0</v>
      </c>
      <c r="P21" s="15">
        <f>MIN(M21-N21-O21,K20*(1+IFERROR(AVERAGEIFS(Assets!$D$3:$D$51,Assets!$G$3:$G$51,"Tax-Free")/100,Settings!$B$11/100)))</f>
        <v>0</v>
      </c>
      <c r="Q21" s="15">
        <f t="shared" si="3"/>
        <v>0</v>
      </c>
      <c r="R21" s="15">
        <f>L21+SUMIF(Assets!$H$3:$H$51,"Real Estate",Assets!$C$3:$C$51)-SUM(Liabilities!$D$3:$D$52)</f>
        <v>4074740.3577592578</v>
      </c>
      <c r="S21" s="15">
        <f>F21/(Settings!$B$10/100)</f>
        <v>4121590.4412618051</v>
      </c>
      <c r="T21" s="15">
        <f>S21/((1+Settings!$B$11/100)^MAX(0,Settings!$B$5-B21))</f>
        <v>4121590.4412618051</v>
      </c>
      <c r="U21" t="str">
        <f t="shared" si="4"/>
        <v>🔥 FI Reached</v>
      </c>
      <c r="V21" s="1">
        <f t="shared" si="5"/>
        <v>0</v>
      </c>
    </row>
    <row r="22" spans="1:22" x14ac:dyDescent="0.35">
      <c r="A22">
        <v>2043</v>
      </c>
      <c r="B22">
        <f t="shared" si="6"/>
        <v>57</v>
      </c>
      <c r="C22" s="15">
        <f>SUMPRODUCT((Income!$E$3:$E$49&lt;=A22)*(Income!$F$3:$F$49&gt;=A22)*(Income!$C$3:$C$49)*(1+Income!$D$3:$D$49/100)^(A22-Income!$E$3:$E$49))</f>
        <v>0</v>
      </c>
      <c r="D22" s="15">
        <f>C22*(Settings!$B$7/100)</f>
        <v>0</v>
      </c>
      <c r="E22" s="15">
        <f t="shared" si="0"/>
        <v>0</v>
      </c>
      <c r="F22" s="15">
        <f>IF('Simple Budget'!$B$2="Yes",SUMPRODUCT(('Simple Budget'!$E$4:$E$50&lt;=A22)*('Simple Budget'!$F$4:$F$50&gt;=A22)*('Simple Budget'!$B$4:$B$50)*(1+'Simple Budget'!$C$4:$C$50/100)^(A22-'Simple Budget'!$E$4:$E$50)),SUMPRODUCT(('Detailed Budget'!$E$3:$E$105&lt;=A22)*('Detailed Budget'!$F$3:$F$105&gt;=A22)*('Detailed Budget'!$C$3:$C$105)*12*(1+Settings!$B$9/100)^(A22-2024)))</f>
        <v>169809.52617998639</v>
      </c>
      <c r="G22" s="23">
        <v>0</v>
      </c>
      <c r="H22" s="15">
        <f t="shared" si="7"/>
        <v>-169809.52617998639</v>
      </c>
      <c r="I22" s="15">
        <f>I21*(1+IFERROR(AVERAGEIFS(Assets!$D$3:$D$51,Assets!$G$3:$G$51,"Taxable")/100,Settings!$B$11/100))+MAX(0,H22)-N22</f>
        <v>3144674.0160721717</v>
      </c>
      <c r="J22" s="15">
        <f>J21*(1+IFERROR(AVERAGEIFS(Assets!$D$3:$D$51,Assets!$G$3:$G$51,"Pre-Tax")/100,Settings!$B$11/100))-O22</f>
        <v>723305.5070067636</v>
      </c>
      <c r="K22" s="15">
        <f>K21*(1+IFERROR(AVERAGEIFS(Assets!$D$3:$D$51,Assets!$G$3:$G$51,"Tax-Free")/100,Settings!$B$11/100))-P22</f>
        <v>474041.06459857646</v>
      </c>
      <c r="L22" s="15">
        <f t="shared" si="1"/>
        <v>4342020.5876775114</v>
      </c>
      <c r="M22" s="15">
        <f t="shared" si="2"/>
        <v>169809.52617998639</v>
      </c>
      <c r="N22" s="15">
        <f>MIN(M22,I21*(1+IFERROR(AVERAGEIFS(Assets!$D$3:$D$51,Assets!$G$3:$G$51,"Taxable")/100,Settings!$B$11/100)))</f>
        <v>169809.52617998639</v>
      </c>
      <c r="O22" s="15">
        <f>IF(B22&gt;=59.5,MIN(M22-N22,J21*(1+IFERROR(AVERAGEIFS(Assets!$D$3:$D$51,Assets!$G$3:$G$51,"Pre-Tax")/100,Settings!$B$11/100))),0)</f>
        <v>0</v>
      </c>
      <c r="P22" s="15">
        <f>MIN(M22-N22-O22,K21*(1+IFERROR(AVERAGEIFS(Assets!$D$3:$D$51,Assets!$G$3:$G$51,"Tax-Free")/100,Settings!$B$11/100)))</f>
        <v>0</v>
      </c>
      <c r="Q22" s="15">
        <f t="shared" si="3"/>
        <v>0</v>
      </c>
      <c r="R22" s="15">
        <f>L22+SUMIF(Assets!$H$3:$H$51,"Real Estate",Assets!$C$3:$C$51)-SUM(Liabilities!$D$3:$D$52)</f>
        <v>4067020.5876775114</v>
      </c>
      <c r="S22" s="15">
        <f>F22/(Settings!$B$10/100)</f>
        <v>4245238.1544996593</v>
      </c>
      <c r="T22" s="15">
        <f>S22/((1+Settings!$B$11/100)^MAX(0,Settings!$B$5-B22))</f>
        <v>4245238.1544996593</v>
      </c>
      <c r="U22" t="str">
        <f t="shared" si="4"/>
        <v>🔥 FI Reached</v>
      </c>
      <c r="V22" s="1">
        <f t="shared" si="5"/>
        <v>0</v>
      </c>
    </row>
    <row r="23" spans="1:22" x14ac:dyDescent="0.35">
      <c r="A23">
        <v>2044</v>
      </c>
      <c r="B23">
        <f t="shared" si="6"/>
        <v>58</v>
      </c>
      <c r="C23" s="15">
        <f>SUMPRODUCT((Income!$E$3:$E$49&lt;=A23)*(Income!$F$3:$F$49&gt;=A23)*(Income!$C$3:$C$49)*(1+Income!$D$3:$D$49/100)^(A23-Income!$E$3:$E$49))</f>
        <v>0</v>
      </c>
      <c r="D23" s="15">
        <f>C23*(Settings!$B$7/100)</f>
        <v>0</v>
      </c>
      <c r="E23" s="15">
        <f t="shared" si="0"/>
        <v>0</v>
      </c>
      <c r="F23" s="15">
        <f>IF('Simple Budget'!$B$2="Yes",SUMPRODUCT(('Simple Budget'!$E$4:$E$50&lt;=A23)*('Simple Budget'!$F$4:$F$50&gt;=A23)*('Simple Budget'!$B$4:$B$50)*(1+'Simple Budget'!$C$4:$C$50/100)^(A23-'Simple Budget'!$E$4:$E$50)),SUMPRODUCT(('Detailed Budget'!$E$3:$E$105&lt;=A23)*('Detailed Budget'!$F$3:$F$105&gt;=A23)*('Detailed Budget'!$C$3:$C$105)*12*(1+Settings!$B$9/100)^(A23-2024)))</f>
        <v>174903.81196538598</v>
      </c>
      <c r="G23" s="23">
        <v>0</v>
      </c>
      <c r="H23" s="15">
        <f t="shared" si="7"/>
        <v>-174903.81196538598</v>
      </c>
      <c r="I23" s="15">
        <f>I22*(1+IFERROR(AVERAGEIFS(Assets!$D$3:$D$51,Assets!$G$3:$G$51,"Taxable")/100,Settings!$B$11/100))+MAX(0,H23)-N23</f>
        <v>3064110.4245889513</v>
      </c>
      <c r="J23" s="15">
        <f>J22*(1+IFERROR(AVERAGEIFS(Assets!$D$3:$D$51,Assets!$G$3:$G$51,"Pre-Tax")/100,Settings!$B$11/100))-O23</f>
        <v>773936.89249723707</v>
      </c>
      <c r="K23" s="15">
        <f>K22*(1+IFERROR(AVERAGEIFS(Assets!$D$3:$D$51,Assets!$G$3:$G$51,"Tax-Free")/100,Settings!$B$11/100))-P23</f>
        <v>493002.70718251955</v>
      </c>
      <c r="L23" s="15">
        <f t="shared" si="1"/>
        <v>4331050.0242687073</v>
      </c>
      <c r="M23" s="15">
        <f t="shared" si="2"/>
        <v>174903.81196538598</v>
      </c>
      <c r="N23" s="15">
        <f>MIN(M23,I22*(1+IFERROR(AVERAGEIFS(Assets!$D$3:$D$51,Assets!$G$3:$G$51,"Taxable")/100,Settings!$B$11/100)))</f>
        <v>174903.81196538598</v>
      </c>
      <c r="O23" s="15">
        <f>IF(B23&gt;=59.5,MIN(M23-N23,J22*(1+IFERROR(AVERAGEIFS(Assets!$D$3:$D$51,Assets!$G$3:$G$51,"Pre-Tax")/100,Settings!$B$11/100))),0)</f>
        <v>0</v>
      </c>
      <c r="P23" s="15">
        <f>MIN(M23-N23-O23,K22*(1+IFERROR(AVERAGEIFS(Assets!$D$3:$D$51,Assets!$G$3:$G$51,"Tax-Free")/100,Settings!$B$11/100)))</f>
        <v>0</v>
      </c>
      <c r="Q23" s="15">
        <f t="shared" si="3"/>
        <v>0</v>
      </c>
      <c r="R23" s="15">
        <f>L23+SUMIF(Assets!$H$3:$H$51,"Real Estate",Assets!$C$3:$C$51)-SUM(Liabilities!$D$3:$D$52)</f>
        <v>4056050.0242687073</v>
      </c>
      <c r="S23" s="15">
        <f>F23/(Settings!$B$10/100)</f>
        <v>4372595.2991346493</v>
      </c>
      <c r="T23" s="15">
        <f>S23/((1+Settings!$B$11/100)^MAX(0,Settings!$B$5-B23))</f>
        <v>4372595.2991346493</v>
      </c>
      <c r="U23" t="str">
        <f t="shared" si="4"/>
        <v/>
      </c>
      <c r="V23" s="1">
        <f t="shared" si="5"/>
        <v>0</v>
      </c>
    </row>
    <row r="24" spans="1:22" x14ac:dyDescent="0.35">
      <c r="A24">
        <v>2045</v>
      </c>
      <c r="B24">
        <f t="shared" si="6"/>
        <v>59</v>
      </c>
      <c r="C24" s="15">
        <f>SUMPRODUCT((Income!$E$3:$E$49&lt;=A24)*(Income!$F$3:$F$49&gt;=A24)*(Income!$C$3:$C$49)*(1+Income!$D$3:$D$49/100)^(A24-Income!$E$3:$E$49))</f>
        <v>0</v>
      </c>
      <c r="D24" s="15">
        <f>C24*(Settings!$B$7/100)</f>
        <v>0</v>
      </c>
      <c r="E24" s="15">
        <f t="shared" si="0"/>
        <v>0</v>
      </c>
      <c r="F24" s="15">
        <f>IF('Simple Budget'!$B$2="Yes",SUMPRODUCT(('Simple Budget'!$E$4:$E$50&lt;=A24)*('Simple Budget'!$F$4:$F$50&gt;=A24)*('Simple Budget'!$B$4:$B$50)*(1+'Simple Budget'!$C$4:$C$50/100)^(A24-'Simple Budget'!$E$4:$E$50)),SUMPRODUCT(('Detailed Budget'!$E$3:$E$105&lt;=A24)*('Detailed Budget'!$F$3:$F$105&gt;=A24)*('Detailed Budget'!$C$3:$C$105)*12*(1+Settings!$B$9/100)^(A24-2024)))</f>
        <v>180150.9263243475</v>
      </c>
      <c r="G24" s="23">
        <v>0</v>
      </c>
      <c r="H24" s="15">
        <f t="shared" si="7"/>
        <v>-180150.9263243475</v>
      </c>
      <c r="I24" s="15">
        <f>I23*(1+IFERROR(AVERAGEIFS(Assets!$D$3:$D$51,Assets!$G$3:$G$51,"Taxable")/100,Settings!$B$11/100))+MAX(0,H24)-N24</f>
        <v>2975882.8110022722</v>
      </c>
      <c r="J24" s="15">
        <f>J23*(1+IFERROR(AVERAGEIFS(Assets!$D$3:$D$51,Assets!$G$3:$G$51,"Pre-Tax")/100,Settings!$B$11/100))-O24</f>
        <v>828112.47497204377</v>
      </c>
      <c r="K24" s="15">
        <f>K23*(1+IFERROR(AVERAGEIFS(Assets!$D$3:$D$51,Assets!$G$3:$G$51,"Tax-Free")/100,Settings!$B$11/100))-P24</f>
        <v>512722.81546982034</v>
      </c>
      <c r="L24" s="15">
        <f t="shared" si="1"/>
        <v>4316718.1014441364</v>
      </c>
      <c r="M24" s="15">
        <f t="shared" si="2"/>
        <v>180150.9263243475</v>
      </c>
      <c r="N24" s="15">
        <f>MIN(M24,I23*(1+IFERROR(AVERAGEIFS(Assets!$D$3:$D$51,Assets!$G$3:$G$51,"Taxable")/100,Settings!$B$11/100)))</f>
        <v>180150.9263243475</v>
      </c>
      <c r="O24" s="15">
        <f>IF(B24&gt;=59.5,MIN(M24-N24,J23*(1+IFERROR(AVERAGEIFS(Assets!$D$3:$D$51,Assets!$G$3:$G$51,"Pre-Tax")/100,Settings!$B$11/100))),0)</f>
        <v>0</v>
      </c>
      <c r="P24" s="15">
        <f>MIN(M24-N24-O24,K23*(1+IFERROR(AVERAGEIFS(Assets!$D$3:$D$51,Assets!$G$3:$G$51,"Tax-Free")/100,Settings!$B$11/100)))</f>
        <v>0</v>
      </c>
      <c r="Q24" s="15">
        <f t="shared" si="3"/>
        <v>0</v>
      </c>
      <c r="R24" s="15">
        <f>L24+SUMIF(Assets!$H$3:$H$51,"Real Estate",Assets!$C$3:$C$51)-SUM(Liabilities!$D$3:$D$52)</f>
        <v>4041718.1014441364</v>
      </c>
      <c r="S24" s="15">
        <f>F24/(Settings!$B$10/100)</f>
        <v>4503773.158108687</v>
      </c>
      <c r="T24" s="15">
        <f>S24/((1+Settings!$B$11/100)^MAX(0,Settings!$B$5-B24))</f>
        <v>4503773.158108687</v>
      </c>
      <c r="U24" t="str">
        <f t="shared" si="4"/>
        <v/>
      </c>
      <c r="V24" s="1">
        <f t="shared" si="5"/>
        <v>0</v>
      </c>
    </row>
    <row r="25" spans="1:22" x14ac:dyDescent="0.35">
      <c r="A25">
        <v>2046</v>
      </c>
      <c r="B25">
        <f t="shared" si="6"/>
        <v>60</v>
      </c>
      <c r="C25" s="15">
        <f>SUMPRODUCT((Income!$E$3:$E$49&lt;=A25)*(Income!$F$3:$F$49&gt;=A25)*(Income!$C$3:$C$49)*(1+Income!$D$3:$D$49/100)^(A25-Income!$E$3:$E$49))</f>
        <v>0</v>
      </c>
      <c r="D25" s="15">
        <f>C25*(Settings!$B$7/100)</f>
        <v>0</v>
      </c>
      <c r="E25" s="15">
        <f t="shared" si="0"/>
        <v>0</v>
      </c>
      <c r="F25" s="15">
        <f>IF('Simple Budget'!$B$2="Yes",SUMPRODUCT(('Simple Budget'!$E$4:$E$50&lt;=A25)*('Simple Budget'!$F$4:$F$50&gt;=A25)*('Simple Budget'!$B$4:$B$50)*(1+'Simple Budget'!$C$4:$C$50/100)^(A25-'Simple Budget'!$E$4:$E$50)),SUMPRODUCT(('Detailed Budget'!$E$3:$E$105&lt;=A25)*('Detailed Budget'!$F$3:$F$105&gt;=A25)*('Detailed Budget'!$C$3:$C$105)*12*(1+Settings!$B$9/100)^(A25-2024)))</f>
        <v>185555.45411407802</v>
      </c>
      <c r="G25" s="23">
        <v>0</v>
      </c>
      <c r="H25" s="15">
        <f t="shared" si="7"/>
        <v>-185555.45411407802</v>
      </c>
      <c r="I25" s="15">
        <f>I24*(1+IFERROR(AVERAGEIFS(Assets!$D$3:$D$51,Assets!$G$3:$G$51,"Taxable")/100,Settings!$B$11/100))+MAX(0,H25)-N25</f>
        <v>2879603.8412182624</v>
      </c>
      <c r="J25" s="15">
        <f>J24*(1+IFERROR(AVERAGEIFS(Assets!$D$3:$D$51,Assets!$G$3:$G$51,"Pre-Tax")/100,Settings!$B$11/100))-O25</f>
        <v>886080.34822008689</v>
      </c>
      <c r="K25" s="15">
        <f>K24*(1+IFERROR(AVERAGEIFS(Assets!$D$3:$D$51,Assets!$G$3:$G$51,"Tax-Free")/100,Settings!$B$11/100))-P25</f>
        <v>533231.72808861313</v>
      </c>
      <c r="L25" s="15">
        <f t="shared" si="1"/>
        <v>4298915.9175269622</v>
      </c>
      <c r="M25" s="15">
        <f t="shared" si="2"/>
        <v>185555.45411407802</v>
      </c>
      <c r="N25" s="15">
        <f>MIN(M25,I24*(1+IFERROR(AVERAGEIFS(Assets!$D$3:$D$51,Assets!$G$3:$G$51,"Taxable")/100,Settings!$B$11/100)))</f>
        <v>185555.45411407802</v>
      </c>
      <c r="O25" s="15">
        <f>IF(B25&gt;=59.5,MIN(M25-N25,J24*(1+IFERROR(AVERAGEIFS(Assets!$D$3:$D$51,Assets!$G$3:$G$51,"Pre-Tax")/100,Settings!$B$11/100))),0)</f>
        <v>0</v>
      </c>
      <c r="P25" s="15">
        <f>MIN(M25-N25-O25,K24*(1+IFERROR(AVERAGEIFS(Assets!$D$3:$D$51,Assets!$G$3:$G$51,"Tax-Free")/100,Settings!$B$11/100)))</f>
        <v>0</v>
      </c>
      <c r="Q25" s="15">
        <f t="shared" si="3"/>
        <v>0</v>
      </c>
      <c r="R25" s="15">
        <f>L25+SUMIF(Assets!$H$3:$H$51,"Real Estate",Assets!$C$3:$C$51)-SUM(Liabilities!$D$3:$D$52)</f>
        <v>4023915.9175269622</v>
      </c>
      <c r="S25" s="15">
        <f>F25/(Settings!$B$10/100)</f>
        <v>4638886.3528519506</v>
      </c>
      <c r="T25" s="15">
        <f>S25/((1+Settings!$B$11/100)^MAX(0,Settings!$B$5-B25))</f>
        <v>4638886.3528519506</v>
      </c>
      <c r="U25" t="str">
        <f t="shared" si="4"/>
        <v/>
      </c>
      <c r="V25" s="1">
        <f t="shared" si="5"/>
        <v>0</v>
      </c>
    </row>
    <row r="26" spans="1:22" x14ac:dyDescent="0.35">
      <c r="A26">
        <v>2047</v>
      </c>
      <c r="B26">
        <f t="shared" si="6"/>
        <v>61</v>
      </c>
      <c r="C26" s="15">
        <f>SUMPRODUCT((Income!$E$3:$E$49&lt;=A26)*(Income!$F$3:$F$49&gt;=A26)*(Income!$C$3:$C$49)*(1+Income!$D$3:$D$49/100)^(A26-Income!$E$3:$E$49))</f>
        <v>0</v>
      </c>
      <c r="D26" s="15">
        <f>C26*(Settings!$B$7/100)</f>
        <v>0</v>
      </c>
      <c r="E26" s="15">
        <f t="shared" si="0"/>
        <v>0</v>
      </c>
      <c r="F26" s="15">
        <f>IF('Simple Budget'!$B$2="Yes",SUMPRODUCT(('Simple Budget'!$E$4:$E$50&lt;=A26)*('Simple Budget'!$F$4:$F$50&gt;=A26)*('Simple Budget'!$B$4:$B$50)*(1+'Simple Budget'!$C$4:$C$50/100)^(A26-'Simple Budget'!$E$4:$E$50)),SUMPRODUCT(('Detailed Budget'!$E$3:$E$105&lt;=A26)*('Detailed Budget'!$F$3:$F$105&gt;=A26)*('Detailed Budget'!$C$3:$C$105)*12*(1+Settings!$B$9/100)^(A26-2024)))</f>
        <v>182833.05439076861</v>
      </c>
      <c r="G26" s="23">
        <v>0</v>
      </c>
      <c r="H26" s="15">
        <f t="shared" si="7"/>
        <v>-182833.05439076861</v>
      </c>
      <c r="I26" s="15">
        <f>I25*(1+IFERROR(AVERAGEIFS(Assets!$D$3:$D$51,Assets!$G$3:$G$51,"Taxable")/100,Settings!$B$11/100))+MAX(0,H26)-N26</f>
        <v>2783158.9020640417</v>
      </c>
      <c r="J26" s="15">
        <f>J25*(1+IFERROR(AVERAGEIFS(Assets!$D$3:$D$51,Assets!$G$3:$G$51,"Pre-Tax")/100,Settings!$B$11/100))-O26</f>
        <v>948105.97259549308</v>
      </c>
      <c r="K26" s="15">
        <f>K25*(1+IFERROR(AVERAGEIFS(Assets!$D$3:$D$51,Assets!$G$3:$G$51,"Tax-Free")/100,Settings!$B$11/100))-P26</f>
        <v>554560.9972121577</v>
      </c>
      <c r="L26" s="15">
        <f t="shared" si="1"/>
        <v>4285825.8718716921</v>
      </c>
      <c r="M26" s="15">
        <f t="shared" si="2"/>
        <v>182833.05439076861</v>
      </c>
      <c r="N26" s="15">
        <f>MIN(M26,I25*(1+IFERROR(AVERAGEIFS(Assets!$D$3:$D$51,Assets!$G$3:$G$51,"Taxable")/100,Settings!$B$11/100)))</f>
        <v>182833.05439076861</v>
      </c>
      <c r="O26" s="15">
        <f>IF(B26&gt;=59.5,MIN(M26-N26,J25*(1+IFERROR(AVERAGEIFS(Assets!$D$3:$D$51,Assets!$G$3:$G$51,"Pre-Tax")/100,Settings!$B$11/100))),0)</f>
        <v>0</v>
      </c>
      <c r="P26" s="15">
        <f>MIN(M26-N26-O26,K25*(1+IFERROR(AVERAGEIFS(Assets!$D$3:$D$51,Assets!$G$3:$G$51,"Tax-Free")/100,Settings!$B$11/100)))</f>
        <v>0</v>
      </c>
      <c r="Q26" s="15">
        <f t="shared" si="3"/>
        <v>0</v>
      </c>
      <c r="R26" s="15">
        <f>L26+SUMIF(Assets!$H$3:$H$51,"Real Estate",Assets!$C$3:$C$51)-SUM(Liabilities!$D$3:$D$52)</f>
        <v>4010825.8718716921</v>
      </c>
      <c r="S26" s="15">
        <f>F26/(Settings!$B$10/100)</f>
        <v>4570826.3597692149</v>
      </c>
      <c r="T26" s="15">
        <f>S26/((1+Settings!$B$11/100)^MAX(0,Settings!$B$5-B26))</f>
        <v>4570826.3597692149</v>
      </c>
      <c r="U26" t="str">
        <f t="shared" si="4"/>
        <v/>
      </c>
      <c r="V26" s="1">
        <f t="shared" si="5"/>
        <v>0</v>
      </c>
    </row>
    <row r="27" spans="1:22" x14ac:dyDescent="0.35">
      <c r="A27">
        <v>2048</v>
      </c>
      <c r="B27">
        <f t="shared" si="6"/>
        <v>62</v>
      </c>
      <c r="C27" s="15">
        <f>SUMPRODUCT((Income!$E$3:$E$49&lt;=A27)*(Income!$F$3:$F$49&gt;=A27)*(Income!$C$3:$C$49)*(1+Income!$D$3:$D$49/100)^(A27-Income!$E$3:$E$49))</f>
        <v>0</v>
      </c>
      <c r="D27" s="15">
        <f>C27*(Settings!$B$7/100)</f>
        <v>0</v>
      </c>
      <c r="E27" s="15">
        <f t="shared" si="0"/>
        <v>0</v>
      </c>
      <c r="F27" s="15">
        <f>IF('Simple Budget'!$B$2="Yes",SUMPRODUCT(('Simple Budget'!$E$4:$E$50&lt;=A27)*('Simple Budget'!$F$4:$F$50&gt;=A27)*('Simple Budget'!$B$4:$B$50)*(1+'Simple Budget'!$C$4:$C$50/100)^(A27-'Simple Budget'!$E$4:$E$50)),SUMPRODUCT(('Detailed Budget'!$E$3:$E$105&lt;=A27)*('Detailed Budget'!$F$3:$F$105&gt;=A27)*('Detailed Budget'!$C$3:$C$105)*12*(1+Settings!$B$9/100)^(A27-2024)))</f>
        <v>188318.04602249162</v>
      </c>
      <c r="G27" s="23">
        <v>0</v>
      </c>
      <c r="H27" s="15">
        <f t="shared" si="7"/>
        <v>-188318.04602249162</v>
      </c>
      <c r="I27" s="15">
        <f>I26*(1+IFERROR(AVERAGEIFS(Assets!$D$3:$D$51,Assets!$G$3:$G$51,"Taxable")/100,Settings!$B$11/100))+MAX(0,H27)-N27</f>
        <v>2678335.6231034715</v>
      </c>
      <c r="J27" s="15">
        <f>J26*(1+IFERROR(AVERAGEIFS(Assets!$D$3:$D$51,Assets!$G$3:$G$51,"Pre-Tax")/100,Settings!$B$11/100))-O27</f>
        <v>1014473.3906771777</v>
      </c>
      <c r="K27" s="15">
        <f>K26*(1+IFERROR(AVERAGEIFS(Assets!$D$3:$D$51,Assets!$G$3:$G$51,"Tax-Free")/100,Settings!$B$11/100))-P27</f>
        <v>576743.43710064399</v>
      </c>
      <c r="L27" s="15">
        <f t="shared" si="1"/>
        <v>4269552.450881293</v>
      </c>
      <c r="M27" s="15">
        <f t="shared" si="2"/>
        <v>188318.04602249162</v>
      </c>
      <c r="N27" s="15">
        <f>MIN(M27,I26*(1+IFERROR(AVERAGEIFS(Assets!$D$3:$D$51,Assets!$G$3:$G$51,"Taxable")/100,Settings!$B$11/100)))</f>
        <v>188318.04602249162</v>
      </c>
      <c r="O27" s="15">
        <f>IF(B27&gt;=59.5,MIN(M27-N27,J26*(1+IFERROR(AVERAGEIFS(Assets!$D$3:$D$51,Assets!$G$3:$G$51,"Pre-Tax")/100,Settings!$B$11/100))),0)</f>
        <v>0</v>
      </c>
      <c r="P27" s="15">
        <f>MIN(M27-N27-O27,K26*(1+IFERROR(AVERAGEIFS(Assets!$D$3:$D$51,Assets!$G$3:$G$51,"Tax-Free")/100,Settings!$B$11/100)))</f>
        <v>0</v>
      </c>
      <c r="Q27" s="15">
        <f t="shared" si="3"/>
        <v>0</v>
      </c>
      <c r="R27" s="15">
        <f>L27+SUMIF(Assets!$H$3:$H$51,"Real Estate",Assets!$C$3:$C$51)-SUM(Liabilities!$D$3:$D$52)</f>
        <v>3994552.450881293</v>
      </c>
      <c r="S27" s="15">
        <f>F27/(Settings!$B$10/100)</f>
        <v>4707951.1505622901</v>
      </c>
      <c r="T27" s="15">
        <f>S27/((1+Settings!$B$11/100)^MAX(0,Settings!$B$5-B27))</f>
        <v>4707951.1505622901</v>
      </c>
      <c r="U27" t="str">
        <f t="shared" si="4"/>
        <v/>
      </c>
      <c r="V27" s="1">
        <f t="shared" si="5"/>
        <v>0</v>
      </c>
    </row>
    <row r="28" spans="1:22" x14ac:dyDescent="0.35">
      <c r="A28">
        <v>2049</v>
      </c>
      <c r="B28">
        <f t="shared" si="6"/>
        <v>63</v>
      </c>
      <c r="C28" s="15">
        <f>SUMPRODUCT((Income!$E$3:$E$49&lt;=A28)*(Income!$F$3:$F$49&gt;=A28)*(Income!$C$3:$C$49)*(1+Income!$D$3:$D$49/100)^(A28-Income!$E$3:$E$49))</f>
        <v>0</v>
      </c>
      <c r="D28" s="15">
        <f>C28*(Settings!$B$7/100)</f>
        <v>0</v>
      </c>
      <c r="E28" s="15">
        <f t="shared" si="0"/>
        <v>0</v>
      </c>
      <c r="F28" s="15">
        <f>IF('Simple Budget'!$B$2="Yes",SUMPRODUCT(('Simple Budget'!$E$4:$E$50&lt;=A28)*('Simple Budget'!$F$4:$F$50&gt;=A28)*('Simple Budget'!$B$4:$B$50)*(1+'Simple Budget'!$C$4:$C$50/100)^(A28-'Simple Budget'!$E$4:$E$50)),SUMPRODUCT(('Detailed Budget'!$E$3:$E$105&lt;=A28)*('Detailed Budget'!$F$3:$F$105&gt;=A28)*('Detailed Budget'!$C$3:$C$105)*12*(1+Settings!$B$9/100)^(A28-2024)))</f>
        <v>193967.58740316637</v>
      </c>
      <c r="G28" s="23">
        <v>0</v>
      </c>
      <c r="H28" s="15">
        <f t="shared" si="7"/>
        <v>-193967.58740316637</v>
      </c>
      <c r="I28" s="15">
        <f>I27*(1+IFERROR(AVERAGEIFS(Assets!$D$3:$D$51,Assets!$G$3:$G$51,"Taxable")/100,Settings!$B$11/100))+MAX(0,H28)-N28</f>
        <v>2564718.1043934091</v>
      </c>
      <c r="J28" s="15">
        <f>J27*(1+IFERROR(AVERAGEIFS(Assets!$D$3:$D$51,Assets!$G$3:$G$51,"Pre-Tax")/100,Settings!$B$11/100))-O28</f>
        <v>1085486.5280245801</v>
      </c>
      <c r="K28" s="15">
        <f>K27*(1+IFERROR(AVERAGEIFS(Assets!$D$3:$D$51,Assets!$G$3:$G$51,"Tax-Free")/100,Settings!$B$11/100))-P28</f>
        <v>599813.17458466976</v>
      </c>
      <c r="L28" s="15">
        <f t="shared" si="1"/>
        <v>4250017.807002659</v>
      </c>
      <c r="M28" s="15">
        <f t="shared" si="2"/>
        <v>193967.58740316637</v>
      </c>
      <c r="N28" s="15">
        <f>MIN(M28,I27*(1+IFERROR(AVERAGEIFS(Assets!$D$3:$D$51,Assets!$G$3:$G$51,"Taxable")/100,Settings!$B$11/100)))</f>
        <v>193967.58740316637</v>
      </c>
      <c r="O28" s="15">
        <f>IF(B28&gt;=59.5,MIN(M28-N28,J27*(1+IFERROR(AVERAGEIFS(Assets!$D$3:$D$51,Assets!$G$3:$G$51,"Pre-Tax")/100,Settings!$B$11/100))),0)</f>
        <v>0</v>
      </c>
      <c r="P28" s="15">
        <f>MIN(M28-N28-O28,K27*(1+IFERROR(AVERAGEIFS(Assets!$D$3:$D$51,Assets!$G$3:$G$51,"Tax-Free")/100,Settings!$B$11/100)))</f>
        <v>0</v>
      </c>
      <c r="Q28" s="15">
        <f t="shared" si="3"/>
        <v>0</v>
      </c>
      <c r="R28" s="15">
        <f>L28+SUMIF(Assets!$H$3:$H$51,"Real Estate",Assets!$C$3:$C$51)-SUM(Liabilities!$D$3:$D$52)</f>
        <v>3975017.807002659</v>
      </c>
      <c r="S28" s="15">
        <f>F28/(Settings!$B$10/100)</f>
        <v>4849189.6850791592</v>
      </c>
      <c r="T28" s="15">
        <f>S28/((1+Settings!$B$11/100)^MAX(0,Settings!$B$5-B28))</f>
        <v>4849189.6850791592</v>
      </c>
      <c r="U28" t="str">
        <f t="shared" si="4"/>
        <v/>
      </c>
      <c r="V28" s="1">
        <f t="shared" si="5"/>
        <v>0</v>
      </c>
    </row>
    <row r="29" spans="1:22" x14ac:dyDescent="0.35">
      <c r="A29">
        <v>2050</v>
      </c>
      <c r="B29">
        <f t="shared" si="6"/>
        <v>64</v>
      </c>
      <c r="C29" s="15">
        <f>SUMPRODUCT((Income!$E$3:$E$49&lt;=A29)*(Income!$F$3:$F$49&gt;=A29)*(Income!$C$3:$C$49)*(1+Income!$D$3:$D$49/100)^(A29-Income!$E$3:$E$49))</f>
        <v>0</v>
      </c>
      <c r="D29" s="15">
        <f>C29*(Settings!$B$7/100)</f>
        <v>0</v>
      </c>
      <c r="E29" s="15">
        <f t="shared" si="0"/>
        <v>0</v>
      </c>
      <c r="F29" s="15">
        <f>IF('Simple Budget'!$B$2="Yes",SUMPRODUCT(('Simple Budget'!$E$4:$E$50&lt;=A29)*('Simple Budget'!$F$4:$F$50&gt;=A29)*('Simple Budget'!$B$4:$B$50)*(1+'Simple Budget'!$C$4:$C$50/100)^(A29-'Simple Budget'!$E$4:$E$50)),SUMPRODUCT(('Detailed Budget'!$E$3:$E$105&lt;=A29)*('Detailed Budget'!$F$3:$F$105&gt;=A29)*('Detailed Budget'!$C$3:$C$105)*12*(1+Settings!$B$9/100)^(A29-2024)))</f>
        <v>199786.61502526139</v>
      </c>
      <c r="G29" s="23">
        <v>0</v>
      </c>
      <c r="H29" s="15">
        <f t="shared" si="7"/>
        <v>-199786.61502526139</v>
      </c>
      <c r="I29" s="15">
        <f>I28*(1+IFERROR(AVERAGEIFS(Assets!$D$3:$D$51,Assets!$G$3:$G$51,"Taxable")/100,Settings!$B$11/100))+MAX(0,H29)-N29</f>
        <v>2441873.0324999499</v>
      </c>
      <c r="J29" s="15">
        <f>J28*(1+IFERROR(AVERAGEIFS(Assets!$D$3:$D$51,Assets!$G$3:$G$51,"Pre-Tax")/100,Settings!$B$11/100))-O29</f>
        <v>1161470.5849863007</v>
      </c>
      <c r="K29" s="15">
        <f>K28*(1+IFERROR(AVERAGEIFS(Assets!$D$3:$D$51,Assets!$G$3:$G$51,"Tax-Free")/100,Settings!$B$11/100))-P29</f>
        <v>623805.7015680566</v>
      </c>
      <c r="L29" s="15">
        <f t="shared" si="1"/>
        <v>4227149.3190543074</v>
      </c>
      <c r="M29" s="15">
        <f t="shared" si="2"/>
        <v>199786.61502526139</v>
      </c>
      <c r="N29" s="15">
        <f>MIN(M29,I28*(1+IFERROR(AVERAGEIFS(Assets!$D$3:$D$51,Assets!$G$3:$G$51,"Taxable")/100,Settings!$B$11/100)))</f>
        <v>199786.61502526139</v>
      </c>
      <c r="O29" s="15">
        <f>IF(B29&gt;=59.5,MIN(M29-N29,J28*(1+IFERROR(AVERAGEIFS(Assets!$D$3:$D$51,Assets!$G$3:$G$51,"Pre-Tax")/100,Settings!$B$11/100))),0)</f>
        <v>0</v>
      </c>
      <c r="P29" s="15">
        <f>MIN(M29-N29-O29,K28*(1+IFERROR(AVERAGEIFS(Assets!$D$3:$D$51,Assets!$G$3:$G$51,"Tax-Free")/100,Settings!$B$11/100)))</f>
        <v>0</v>
      </c>
      <c r="Q29" s="15">
        <f t="shared" si="3"/>
        <v>0</v>
      </c>
      <c r="R29" s="15">
        <f>L29+SUMIF(Assets!$H$3:$H$51,"Real Estate",Assets!$C$3:$C$51)-SUM(Liabilities!$D$3:$D$52)</f>
        <v>3952149.3190543074</v>
      </c>
      <c r="S29" s="15">
        <f>F29/(Settings!$B$10/100)</f>
        <v>4994665.3756315345</v>
      </c>
      <c r="T29" s="15">
        <f>S29/((1+Settings!$B$11/100)^MAX(0,Settings!$B$5-B29))</f>
        <v>4994665.3756315345</v>
      </c>
      <c r="U29" t="str">
        <f t="shared" si="4"/>
        <v/>
      </c>
      <c r="V29" s="1">
        <f t="shared" si="5"/>
        <v>0</v>
      </c>
    </row>
    <row r="30" spans="1:22" x14ac:dyDescent="0.35">
      <c r="A30">
        <v>2051</v>
      </c>
      <c r="B30">
        <f t="shared" si="6"/>
        <v>65</v>
      </c>
      <c r="C30" s="15">
        <f>SUMPRODUCT((Income!$E$3:$E$49&lt;=A30)*(Income!$F$3:$F$49&gt;=A30)*(Income!$C$3:$C$49)*(1+Income!$D$3:$D$49/100)^(A30-Income!$E$3:$E$49))</f>
        <v>0</v>
      </c>
      <c r="D30" s="15">
        <f>C30*(Settings!$B$7/100)</f>
        <v>0</v>
      </c>
      <c r="E30" s="15">
        <f t="shared" si="0"/>
        <v>0</v>
      </c>
      <c r="F30" s="15">
        <f>IF('Simple Budget'!$B$2="Yes",SUMPRODUCT(('Simple Budget'!$E$4:$E$50&lt;=A30)*('Simple Budget'!$F$4:$F$50&gt;=A30)*('Simple Budget'!$B$4:$B$50)*(1+'Simple Budget'!$C$4:$C$50/100)^(A30-'Simple Budget'!$E$4:$E$50)),SUMPRODUCT(('Detailed Budget'!$E$3:$E$105&lt;=A30)*('Detailed Budget'!$F$3:$F$105&gt;=A30)*('Detailed Budget'!$C$3:$C$105)*12*(1+Settings!$B$9/100)^(A30-2024)))</f>
        <v>92494.474191941292</v>
      </c>
      <c r="G30" s="23">
        <v>0</v>
      </c>
      <c r="H30" s="15">
        <f t="shared" si="7"/>
        <v>-92494.474191941292</v>
      </c>
      <c r="I30" s="15">
        <f>I29*(1+IFERROR(AVERAGEIFS(Assets!$D$3:$D$51,Assets!$G$3:$G$51,"Taxable")/100,Settings!$B$11/100))+MAX(0,H30)-N30</f>
        <v>2422634.7492830073</v>
      </c>
      <c r="J30" s="15">
        <f>J29*(1+IFERROR(AVERAGEIFS(Assets!$D$3:$D$51,Assets!$G$3:$G$51,"Pre-Tax")/100,Settings!$B$11/100))-O30</f>
        <v>1242773.5259353418</v>
      </c>
      <c r="K30" s="15">
        <f>K29*(1+IFERROR(AVERAGEIFS(Assets!$D$3:$D$51,Assets!$G$3:$G$51,"Tax-Free")/100,Settings!$B$11/100))-P30</f>
        <v>648757.92963077885</v>
      </c>
      <c r="L30" s="15">
        <f t="shared" si="1"/>
        <v>4314166.2048491277</v>
      </c>
      <c r="M30" s="15">
        <f t="shared" si="2"/>
        <v>92494.474191941292</v>
      </c>
      <c r="N30" s="15">
        <f>MIN(M30,I29*(1+IFERROR(AVERAGEIFS(Assets!$D$3:$D$51,Assets!$G$3:$G$51,"Taxable")/100,Settings!$B$11/100)))</f>
        <v>92494.474191941292</v>
      </c>
      <c r="O30" s="15">
        <f>IF(B30&gt;=59.5,MIN(M30-N30,J29*(1+IFERROR(AVERAGEIFS(Assets!$D$3:$D$51,Assets!$G$3:$G$51,"Pre-Tax")/100,Settings!$B$11/100))),0)</f>
        <v>0</v>
      </c>
      <c r="P30" s="15">
        <f>MIN(M30-N30-O30,K29*(1+IFERROR(AVERAGEIFS(Assets!$D$3:$D$51,Assets!$G$3:$G$51,"Tax-Free")/100,Settings!$B$11/100)))</f>
        <v>0</v>
      </c>
      <c r="Q30" s="15">
        <f t="shared" si="3"/>
        <v>0</v>
      </c>
      <c r="R30" s="15">
        <f>L30+SUMIF(Assets!$H$3:$H$51,"Real Estate",Assets!$C$3:$C$51)-SUM(Liabilities!$D$3:$D$52)</f>
        <v>4039166.2048491277</v>
      </c>
      <c r="S30" s="15">
        <f>F30/(Settings!$B$10/100)</f>
        <v>2312361.8547985321</v>
      </c>
      <c r="T30" s="15">
        <f>S30/((1+Settings!$B$11/100)^MAX(0,Settings!$B$5-B30))</f>
        <v>2312361.8547985321</v>
      </c>
      <c r="U30" t="str">
        <f t="shared" si="4"/>
        <v>🔥 FI Reached</v>
      </c>
      <c r="V30" s="1">
        <f t="shared" si="5"/>
        <v>0</v>
      </c>
    </row>
    <row r="31" spans="1:22" x14ac:dyDescent="0.35">
      <c r="A31">
        <v>2052</v>
      </c>
      <c r="B31">
        <f t="shared" si="6"/>
        <v>66</v>
      </c>
      <c r="C31" s="15">
        <f>SUMPRODUCT((Income!$E$3:$E$49&lt;=A31)*(Income!$F$3:$F$49&gt;=A31)*(Income!$C$3:$C$49)*(1+Income!$D$3:$D$49/100)^(A31-Income!$E$3:$E$49))</f>
        <v>0</v>
      </c>
      <c r="D31" s="15">
        <f>C31*(Settings!$B$7/100)</f>
        <v>0</v>
      </c>
      <c r="E31" s="15">
        <f t="shared" si="0"/>
        <v>0</v>
      </c>
      <c r="F31" s="15">
        <f>IF('Simple Budget'!$B$2="Yes",SUMPRODUCT(('Simple Budget'!$E$4:$E$50&lt;=A31)*('Simple Budget'!$F$4:$F$50&gt;=A31)*('Simple Budget'!$B$4:$B$50)*(1+'Simple Budget'!$C$4:$C$50/100)^(A31-'Simple Budget'!$E$4:$E$50)),SUMPRODUCT(('Detailed Budget'!$E$3:$E$105&lt;=A31)*('Detailed Budget'!$F$3:$F$105&gt;=A31)*('Detailed Budget'!$C$3:$C$105)*12*(1+Settings!$B$9/100)^(A31-2024)))</f>
        <v>95269.308417699518</v>
      </c>
      <c r="G31" s="23">
        <v>0</v>
      </c>
      <c r="H31" s="15">
        <f t="shared" si="7"/>
        <v>-95269.308417699518</v>
      </c>
      <c r="I31" s="15">
        <f>I30*(1+IFERROR(AVERAGEIFS(Assets!$D$3:$D$51,Assets!$G$3:$G$51,"Taxable")/100,Settings!$B$11/100))+MAX(0,H31)-N31</f>
        <v>2400044.4833437982</v>
      </c>
      <c r="J31" s="15">
        <f>J30*(1+IFERROR(AVERAGEIFS(Assets!$D$3:$D$51,Assets!$G$3:$G$51,"Pre-Tax")/100,Settings!$B$11/100))-O31</f>
        <v>1329767.6727508157</v>
      </c>
      <c r="K31" s="15">
        <f>K30*(1+IFERROR(AVERAGEIFS(Assets!$D$3:$D$51,Assets!$G$3:$G$51,"Tax-Free")/100,Settings!$B$11/100))-P31</f>
        <v>674708.24681600998</v>
      </c>
      <c r="L31" s="15">
        <f t="shared" si="1"/>
        <v>4404520.4029106237</v>
      </c>
      <c r="M31" s="15">
        <f t="shared" si="2"/>
        <v>95269.308417699518</v>
      </c>
      <c r="N31" s="15">
        <f>MIN(M31,I30*(1+IFERROR(AVERAGEIFS(Assets!$D$3:$D$51,Assets!$G$3:$G$51,"Taxable")/100,Settings!$B$11/100)))</f>
        <v>95269.308417699518</v>
      </c>
      <c r="O31" s="15">
        <f>IF(B31&gt;=59.5,MIN(M31-N31,J30*(1+IFERROR(AVERAGEIFS(Assets!$D$3:$D$51,Assets!$G$3:$G$51,"Pre-Tax")/100,Settings!$B$11/100))),0)</f>
        <v>0</v>
      </c>
      <c r="P31" s="15">
        <f>MIN(M31-N31-O31,K30*(1+IFERROR(AVERAGEIFS(Assets!$D$3:$D$51,Assets!$G$3:$G$51,"Tax-Free")/100,Settings!$B$11/100)))</f>
        <v>0</v>
      </c>
      <c r="Q31" s="15">
        <f t="shared" si="3"/>
        <v>0</v>
      </c>
      <c r="R31" s="15">
        <f>L31+SUMIF(Assets!$H$3:$H$51,"Real Estate",Assets!$C$3:$C$51)-SUM(Liabilities!$D$3:$D$52)</f>
        <v>4129520.4029106237</v>
      </c>
      <c r="S31" s="15">
        <f>F31/(Settings!$B$10/100)</f>
        <v>2381732.7104424881</v>
      </c>
      <c r="T31" s="15">
        <f>S31/((1+Settings!$B$11/100)^MAX(0,Settings!$B$5-B31))</f>
        <v>2381732.7104424881</v>
      </c>
      <c r="U31" t="str">
        <f t="shared" si="4"/>
        <v>🔥 FI Reached</v>
      </c>
      <c r="V31" s="1">
        <f t="shared" si="5"/>
        <v>0</v>
      </c>
    </row>
    <row r="32" spans="1:22" x14ac:dyDescent="0.35">
      <c r="A32">
        <v>2053</v>
      </c>
      <c r="B32">
        <f t="shared" si="6"/>
        <v>67</v>
      </c>
      <c r="C32" s="15">
        <f>SUMPRODUCT((Income!$E$3:$E$49&lt;=A32)*(Income!$F$3:$F$49&gt;=A32)*(Income!$C$3:$C$49)*(1+Income!$D$3:$D$49/100)^(A32-Income!$E$3:$E$49))</f>
        <v>0</v>
      </c>
      <c r="D32" s="15">
        <f>C32*(Settings!$B$7/100)</f>
        <v>0</v>
      </c>
      <c r="E32" s="15">
        <f t="shared" si="0"/>
        <v>0</v>
      </c>
      <c r="F32" s="15">
        <f>IF('Simple Budget'!$B$2="Yes",SUMPRODUCT(('Simple Budget'!$E$4:$E$50&lt;=A32)*('Simple Budget'!$F$4:$F$50&gt;=A32)*('Simple Budget'!$B$4:$B$50)*(1+'Simple Budget'!$C$4:$C$50/100)^(A32-'Simple Budget'!$E$4:$E$50)),SUMPRODUCT(('Detailed Budget'!$E$3:$E$105&lt;=A32)*('Detailed Budget'!$F$3:$F$105&gt;=A32)*('Detailed Budget'!$C$3:$C$105)*12*(1+Settings!$B$9/100)^(A32-2024)))</f>
        <v>128527.08269775145</v>
      </c>
      <c r="G32" s="23">
        <v>0</v>
      </c>
      <c r="H32" s="15">
        <f t="shared" si="7"/>
        <v>-128527.08269775145</v>
      </c>
      <c r="I32" s="15">
        <f>I31*(1+IFERROR(AVERAGEIFS(Assets!$D$3:$D$51,Assets!$G$3:$G$51,"Taxable")/100,Settings!$B$11/100))+MAX(0,H32)-N32</f>
        <v>2343518.7351463609</v>
      </c>
      <c r="J32" s="15">
        <f>J31*(1+IFERROR(AVERAGEIFS(Assets!$D$3:$D$51,Assets!$G$3:$G$51,"Pre-Tax")/100,Settings!$B$11/100))-O32</f>
        <v>1422851.4098433729</v>
      </c>
      <c r="K32" s="15">
        <f>K31*(1+IFERROR(AVERAGEIFS(Assets!$D$3:$D$51,Assets!$G$3:$G$51,"Tax-Free")/100,Settings!$B$11/100))-P32</f>
        <v>701696.57668865041</v>
      </c>
      <c r="L32" s="15">
        <f t="shared" si="1"/>
        <v>4468066.7216783836</v>
      </c>
      <c r="M32" s="15">
        <f t="shared" si="2"/>
        <v>128527.08269775145</v>
      </c>
      <c r="N32" s="15">
        <f>MIN(M32,I31*(1+IFERROR(AVERAGEIFS(Assets!$D$3:$D$51,Assets!$G$3:$G$51,"Taxable")/100,Settings!$B$11/100)))</f>
        <v>128527.08269775145</v>
      </c>
      <c r="O32" s="15">
        <f>IF(B32&gt;=59.5,MIN(M32-N32,J31*(1+IFERROR(AVERAGEIFS(Assets!$D$3:$D$51,Assets!$G$3:$G$51,"Pre-Tax")/100,Settings!$B$11/100))),0)</f>
        <v>0</v>
      </c>
      <c r="P32" s="15">
        <f>MIN(M32-N32-O32,K31*(1+IFERROR(AVERAGEIFS(Assets!$D$3:$D$51,Assets!$G$3:$G$51,"Tax-Free")/100,Settings!$B$11/100)))</f>
        <v>0</v>
      </c>
      <c r="Q32" s="15">
        <f t="shared" si="3"/>
        <v>0</v>
      </c>
      <c r="R32" s="15">
        <f>L32+SUMIF(Assets!$H$3:$H$51,"Real Estate",Assets!$C$3:$C$51)-SUM(Liabilities!$D$3:$D$52)</f>
        <v>4193066.7216783836</v>
      </c>
      <c r="S32" s="15">
        <f>F32/(Settings!$B$10/100)</f>
        <v>3213177.0674437862</v>
      </c>
      <c r="T32" s="15">
        <f>S32/((1+Settings!$B$11/100)^MAX(0,Settings!$B$5-B32))</f>
        <v>3213177.0674437862</v>
      </c>
      <c r="U32" t="str">
        <f t="shared" si="4"/>
        <v>🔥 FI Reached</v>
      </c>
      <c r="V32" s="1">
        <f t="shared" si="5"/>
        <v>0</v>
      </c>
    </row>
    <row r="33" spans="1:22" x14ac:dyDescent="0.35">
      <c r="A33">
        <v>2054</v>
      </c>
      <c r="B33">
        <f t="shared" si="6"/>
        <v>68</v>
      </c>
      <c r="C33" s="15">
        <f>SUMPRODUCT((Income!$E$3:$E$49&lt;=A33)*(Income!$F$3:$F$49&gt;=A33)*(Income!$C$3:$C$49)*(1+Income!$D$3:$D$49/100)^(A33-Income!$E$3:$E$49))</f>
        <v>0</v>
      </c>
      <c r="D33" s="15">
        <f>C33*(Settings!$B$7/100)</f>
        <v>0</v>
      </c>
      <c r="E33" s="15">
        <f t="shared" si="0"/>
        <v>0</v>
      </c>
      <c r="F33" s="15">
        <f>IF('Simple Budget'!$B$2="Yes",SUMPRODUCT(('Simple Budget'!$E$4:$E$50&lt;=A33)*('Simple Budget'!$F$4:$F$50&gt;=A33)*('Simple Budget'!$B$4:$B$50)*(1+'Simple Budget'!$C$4:$C$50/100)^(A33-'Simple Budget'!$E$4:$E$50)),SUMPRODUCT(('Detailed Budget'!$E$3:$E$105&lt;=A33)*('Detailed Budget'!$F$3:$F$105&gt;=A33)*('Detailed Budget'!$C$3:$C$105)*12*(1+Settings!$B$9/100)^(A33-2024)))</f>
        <v>122188.39279968746</v>
      </c>
      <c r="G33" s="23">
        <v>0</v>
      </c>
      <c r="H33" s="15">
        <f t="shared" si="7"/>
        <v>-122188.39279968746</v>
      </c>
      <c r="I33" s="15">
        <f>I32*(1+IFERROR(AVERAGEIFS(Assets!$D$3:$D$51,Assets!$G$3:$G$51,"Taxable")/100,Settings!$B$11/100))+MAX(0,H33)-N33</f>
        <v>2291635.9044010644</v>
      </c>
      <c r="J33" s="15">
        <f>J32*(1+IFERROR(AVERAGEIFS(Assets!$D$3:$D$51,Assets!$G$3:$G$51,"Pre-Tax")/100,Settings!$B$11/100))-O33</f>
        <v>1522451.0085324091</v>
      </c>
      <c r="K33" s="15">
        <f>K32*(1+IFERROR(AVERAGEIFS(Assets!$D$3:$D$51,Assets!$G$3:$G$51,"Tax-Free")/100,Settings!$B$11/100))-P33</f>
        <v>729764.43975619646</v>
      </c>
      <c r="L33" s="15">
        <f t="shared" si="1"/>
        <v>4543851.3526896704</v>
      </c>
      <c r="M33" s="15">
        <f t="shared" si="2"/>
        <v>122188.39279968746</v>
      </c>
      <c r="N33" s="15">
        <f>MIN(M33,I32*(1+IFERROR(AVERAGEIFS(Assets!$D$3:$D$51,Assets!$G$3:$G$51,"Taxable")/100,Settings!$B$11/100)))</f>
        <v>122188.39279968746</v>
      </c>
      <c r="O33" s="15">
        <f>IF(B33&gt;=59.5,MIN(M33-N33,J32*(1+IFERROR(AVERAGEIFS(Assets!$D$3:$D$51,Assets!$G$3:$G$51,"Pre-Tax")/100,Settings!$B$11/100))),0)</f>
        <v>0</v>
      </c>
      <c r="P33" s="15">
        <f>MIN(M33-N33-O33,K32*(1+IFERROR(AVERAGEIFS(Assets!$D$3:$D$51,Assets!$G$3:$G$51,"Tax-Free")/100,Settings!$B$11/100)))</f>
        <v>0</v>
      </c>
      <c r="Q33" s="15">
        <f t="shared" si="3"/>
        <v>0</v>
      </c>
      <c r="R33" s="15">
        <f>L33+SUMIF(Assets!$H$3:$H$51,"Real Estate",Assets!$C$3:$C$51)-SUM(Liabilities!$D$3:$D$52)</f>
        <v>4268851.3526896704</v>
      </c>
      <c r="S33" s="15">
        <f>F33/(Settings!$B$10/100)</f>
        <v>3054709.8199921865</v>
      </c>
      <c r="T33" s="15">
        <f>S33/((1+Settings!$B$11/100)^MAX(0,Settings!$B$5-B33))</f>
        <v>3054709.8199921865</v>
      </c>
      <c r="U33" t="str">
        <f t="shared" si="4"/>
        <v>🔥 FI Reached</v>
      </c>
      <c r="V33" s="1">
        <f t="shared" si="5"/>
        <v>0</v>
      </c>
    </row>
    <row r="34" spans="1:22" x14ac:dyDescent="0.35">
      <c r="A34">
        <v>2055</v>
      </c>
      <c r="B34">
        <f t="shared" si="6"/>
        <v>69</v>
      </c>
      <c r="C34" s="15">
        <f>SUMPRODUCT((Income!$E$3:$E$49&lt;=A34)*(Income!$F$3:$F$49&gt;=A34)*(Income!$C$3:$C$49)*(1+Income!$D$3:$D$49/100)^(A34-Income!$E$3:$E$49))</f>
        <v>0</v>
      </c>
      <c r="D34" s="15">
        <f>C34*(Settings!$B$7/100)</f>
        <v>0</v>
      </c>
      <c r="E34" s="15">
        <f t="shared" si="0"/>
        <v>0</v>
      </c>
      <c r="F34" s="15">
        <f>IF('Simple Budget'!$B$2="Yes",SUMPRODUCT(('Simple Budget'!$E$4:$E$50&lt;=A34)*('Simple Budget'!$F$4:$F$50&gt;=A34)*('Simple Budget'!$B$4:$B$50)*(1+'Simple Budget'!$C$4:$C$50/100)^(A34-'Simple Budget'!$E$4:$E$50)),SUMPRODUCT(('Detailed Budget'!$E$3:$E$105&lt;=A34)*('Detailed Budget'!$F$3:$F$105&gt;=A34)*('Detailed Budget'!$C$3:$C$105)*12*(1+Settings!$B$9/100)^(A34-2024)))</f>
        <v>125854.04458367809</v>
      </c>
      <c r="G34" s="23">
        <v>0</v>
      </c>
      <c r="H34" s="15">
        <f t="shared" si="7"/>
        <v>-125854.04458367809</v>
      </c>
      <c r="I34" s="15">
        <f>I33*(1+IFERROR(AVERAGEIFS(Assets!$D$3:$D$51,Assets!$G$3:$G$51,"Taxable")/100,Settings!$B$11/100))+MAX(0,H34)-N34</f>
        <v>2234530.9369494179</v>
      </c>
      <c r="J34" s="15">
        <f>J33*(1+IFERROR(AVERAGEIFS(Assets!$D$3:$D$51,Assets!$G$3:$G$51,"Pre-Tax")/100,Settings!$B$11/100))-O34</f>
        <v>1629022.5791296777</v>
      </c>
      <c r="K34" s="15">
        <f>K33*(1+IFERROR(AVERAGEIFS(Assets!$D$3:$D$51,Assets!$G$3:$G$51,"Tax-Free")/100,Settings!$B$11/100))-P34</f>
        <v>758955.01734644431</v>
      </c>
      <c r="L34" s="15">
        <f t="shared" si="1"/>
        <v>4622508.5334255397</v>
      </c>
      <c r="M34" s="15">
        <f t="shared" si="2"/>
        <v>125854.04458367809</v>
      </c>
      <c r="N34" s="15">
        <f>MIN(M34,I33*(1+IFERROR(AVERAGEIFS(Assets!$D$3:$D$51,Assets!$G$3:$G$51,"Taxable")/100,Settings!$B$11/100)))</f>
        <v>125854.04458367809</v>
      </c>
      <c r="O34" s="15">
        <f>IF(B34&gt;=59.5,MIN(M34-N34,J33*(1+IFERROR(AVERAGEIFS(Assets!$D$3:$D$51,Assets!$G$3:$G$51,"Pre-Tax")/100,Settings!$B$11/100))),0)</f>
        <v>0</v>
      </c>
      <c r="P34" s="15">
        <f>MIN(M34-N34-O34,K33*(1+IFERROR(AVERAGEIFS(Assets!$D$3:$D$51,Assets!$G$3:$G$51,"Tax-Free")/100,Settings!$B$11/100)))</f>
        <v>0</v>
      </c>
      <c r="Q34" s="15">
        <f t="shared" si="3"/>
        <v>0</v>
      </c>
      <c r="R34" s="15">
        <f>L34+SUMIF(Assets!$H$3:$H$51,"Real Estate",Assets!$C$3:$C$51)-SUM(Liabilities!$D$3:$D$52)</f>
        <v>4347508.5334255397</v>
      </c>
      <c r="S34" s="15">
        <f>F34/(Settings!$B$10/100)</f>
        <v>3146351.1145919519</v>
      </c>
      <c r="T34" s="15">
        <f>S34/((1+Settings!$B$11/100)^MAX(0,Settings!$B$5-B34))</f>
        <v>3146351.1145919519</v>
      </c>
      <c r="U34" t="str">
        <f t="shared" si="4"/>
        <v>🔥 FI Reached</v>
      </c>
      <c r="V34" s="1">
        <f t="shared" si="5"/>
        <v>0</v>
      </c>
    </row>
    <row r="35" spans="1:22" x14ac:dyDescent="0.35">
      <c r="A35">
        <v>2056</v>
      </c>
      <c r="B35">
        <f t="shared" si="6"/>
        <v>70</v>
      </c>
      <c r="C35" s="15">
        <f>SUMPRODUCT((Income!$E$3:$E$49&lt;=A35)*(Income!$F$3:$F$49&gt;=A35)*(Income!$C$3:$C$49)*(1+Income!$D$3:$D$49/100)^(A35-Income!$E$3:$E$49))</f>
        <v>0</v>
      </c>
      <c r="D35" s="15">
        <f>C35*(Settings!$B$7/100)</f>
        <v>0</v>
      </c>
      <c r="E35" s="15">
        <f t="shared" ref="E35:E66" si="8">C35-D35</f>
        <v>0</v>
      </c>
      <c r="F35" s="15">
        <f>IF('Simple Budget'!$B$2="Yes",SUMPRODUCT(('Simple Budget'!$E$4:$E$50&lt;=A35)*('Simple Budget'!$F$4:$F$50&gt;=A35)*('Simple Budget'!$B$4:$B$50)*(1+'Simple Budget'!$C$4:$C$50/100)^(A35-'Simple Budget'!$E$4:$E$50)),SUMPRODUCT(('Detailed Budget'!$E$3:$E$105&lt;=A35)*('Detailed Budget'!$F$3:$F$105&gt;=A35)*('Detailed Budget'!$C$3:$C$105)*12*(1+Settings!$B$9/100)^(A35-2024)))</f>
        <v>129629.66592118841</v>
      </c>
      <c r="G35" s="23">
        <v>0</v>
      </c>
      <c r="H35" s="15">
        <f t="shared" si="7"/>
        <v>-129629.66592118841</v>
      </c>
      <c r="I35" s="15">
        <f>I34*(1+IFERROR(AVERAGEIFS(Assets!$D$3:$D$51,Assets!$G$3:$G$51,"Taxable")/100,Settings!$B$11/100))+MAX(0,H35)-N35</f>
        <v>2171937.1991367121</v>
      </c>
      <c r="J35" s="15">
        <f>J34*(1+IFERROR(AVERAGEIFS(Assets!$D$3:$D$51,Assets!$G$3:$G$51,"Pre-Tax")/100,Settings!$B$11/100))-O35</f>
        <v>1743054.1596687553</v>
      </c>
      <c r="K35" s="15">
        <f>K34*(1+IFERROR(AVERAGEIFS(Assets!$D$3:$D$51,Assets!$G$3:$G$51,"Tax-Free")/100,Settings!$B$11/100))-P35</f>
        <v>789313.21804030216</v>
      </c>
      <c r="L35" s="15">
        <f t="shared" ref="L35:L66" si="9">I35+J35+K35</f>
        <v>4704304.5768457698</v>
      </c>
      <c r="M35" s="15">
        <f t="shared" ref="M35:M66" si="10">IF(H35&lt;0,ABS(H35),0)</f>
        <v>129629.66592118841</v>
      </c>
      <c r="N35" s="15">
        <f>MIN(M35,I34*(1+IFERROR(AVERAGEIFS(Assets!$D$3:$D$51,Assets!$G$3:$G$51,"Taxable")/100,Settings!$B$11/100)))</f>
        <v>129629.66592118841</v>
      </c>
      <c r="O35" s="15">
        <f>IF(B35&gt;=59.5,MIN(M35-N35,J34*(1+IFERROR(AVERAGEIFS(Assets!$D$3:$D$51,Assets!$G$3:$G$51,"Pre-Tax")/100,Settings!$B$11/100))),0)</f>
        <v>0</v>
      </c>
      <c r="P35" s="15">
        <f>MIN(M35-N35-O35,K34*(1+IFERROR(AVERAGEIFS(Assets!$D$3:$D$51,Assets!$G$3:$G$51,"Tax-Free")/100,Settings!$B$11/100)))</f>
        <v>0</v>
      </c>
      <c r="Q35" s="15">
        <f t="shared" ref="Q35:Q66" si="11">MAX(0,M35-N35-O35-P35)</f>
        <v>0</v>
      </c>
      <c r="R35" s="15">
        <f>L35+SUMIF(Assets!$H$3:$H$51,"Real Estate",Assets!$C$3:$C$51)-SUM(Liabilities!$D$3:$D$52)</f>
        <v>4429304.5768457698</v>
      </c>
      <c r="S35" s="15">
        <f>F35/(Settings!$B$10/100)</f>
        <v>3240741.6480297102</v>
      </c>
      <c r="T35" s="15">
        <f>S35/((1+Settings!$B$11/100)^MAX(0,Settings!$B$5-B35))</f>
        <v>3240741.6480297102</v>
      </c>
      <c r="U35" t="str">
        <f t="shared" ref="U35:U66" si="12">IF(L35&gt;=S35,"🔥 FI Reached",IF(L35&gt;=T35,"🌊 Coast FI",""))</f>
        <v>🔥 FI Reached</v>
      </c>
      <c r="V35" s="1">
        <f t="shared" ref="V35:V66" si="13">IF(C35&lt;=0,0,MAX(-1,H35/C35))</f>
        <v>0</v>
      </c>
    </row>
    <row r="36" spans="1:22" x14ac:dyDescent="0.35">
      <c r="A36">
        <v>2057</v>
      </c>
      <c r="B36">
        <f t="shared" ref="B36:B67" si="14">B35+1</f>
        <v>71</v>
      </c>
      <c r="C36" s="15">
        <f>SUMPRODUCT((Income!$E$3:$E$49&lt;=A36)*(Income!$F$3:$F$49&gt;=A36)*(Income!$C$3:$C$49)*(1+Income!$D$3:$D$49/100)^(A36-Income!$E$3:$E$49))</f>
        <v>0</v>
      </c>
      <c r="D36" s="15">
        <f>C36*(Settings!$B$7/100)</f>
        <v>0</v>
      </c>
      <c r="E36" s="15">
        <f t="shared" si="8"/>
        <v>0</v>
      </c>
      <c r="F36" s="15">
        <f>IF('Simple Budget'!$B$2="Yes",SUMPRODUCT(('Simple Budget'!$E$4:$E$50&lt;=A36)*('Simple Budget'!$F$4:$F$50&gt;=A36)*('Simple Budget'!$B$4:$B$50)*(1+'Simple Budget'!$C$4:$C$50/100)^(A36-'Simple Budget'!$E$4:$E$50)),SUMPRODUCT(('Detailed Budget'!$E$3:$E$105&lt;=A36)*('Detailed Budget'!$F$3:$F$105&gt;=A36)*('Detailed Budget'!$C$3:$C$105)*12*(1+Settings!$B$9/100)^(A36-2024)))</f>
        <v>133518.55589882407</v>
      </c>
      <c r="G36" s="23">
        <v>0</v>
      </c>
      <c r="H36" s="15">
        <f t="shared" si="7"/>
        <v>-133518.55589882407</v>
      </c>
      <c r="I36" s="15">
        <f>I35*(1+IFERROR(AVERAGEIFS(Assets!$D$3:$D$51,Assets!$G$3:$G$51,"Taxable")/100,Settings!$B$11/100))+MAX(0,H36)-N36</f>
        <v>2103576.7592119891</v>
      </c>
      <c r="J36" s="15">
        <f>J35*(1+IFERROR(AVERAGEIFS(Assets!$D$3:$D$51,Assets!$G$3:$G$51,"Pre-Tax")/100,Settings!$B$11/100))-O36</f>
        <v>1865067.9508455682</v>
      </c>
      <c r="K36" s="15">
        <f>K35*(1+IFERROR(AVERAGEIFS(Assets!$D$3:$D$51,Assets!$G$3:$G$51,"Tax-Free")/100,Settings!$B$11/100))-P36</f>
        <v>820885.74676191423</v>
      </c>
      <c r="L36" s="15">
        <f t="shared" si="9"/>
        <v>4789530.4568194719</v>
      </c>
      <c r="M36" s="15">
        <f t="shared" si="10"/>
        <v>133518.55589882407</v>
      </c>
      <c r="N36" s="15">
        <f>MIN(M36,I35*(1+IFERROR(AVERAGEIFS(Assets!$D$3:$D$51,Assets!$G$3:$G$51,"Taxable")/100,Settings!$B$11/100)))</f>
        <v>133518.55589882407</v>
      </c>
      <c r="O36" s="15">
        <f>IF(B36&gt;=59.5,MIN(M36-N36,J35*(1+IFERROR(AVERAGEIFS(Assets!$D$3:$D$51,Assets!$G$3:$G$51,"Pre-Tax")/100,Settings!$B$11/100))),0)</f>
        <v>0</v>
      </c>
      <c r="P36" s="15">
        <f>MIN(M36-N36-O36,K35*(1+IFERROR(AVERAGEIFS(Assets!$D$3:$D$51,Assets!$G$3:$G$51,"Tax-Free")/100,Settings!$B$11/100)))</f>
        <v>0</v>
      </c>
      <c r="Q36" s="15">
        <f t="shared" si="11"/>
        <v>0</v>
      </c>
      <c r="R36" s="15">
        <f>L36+SUMIF(Assets!$H$3:$H$51,"Real Estate",Assets!$C$3:$C$51)-SUM(Liabilities!$D$3:$D$52)</f>
        <v>4514530.4568194719</v>
      </c>
      <c r="S36" s="15">
        <f>F36/(Settings!$B$10/100)</f>
        <v>3337963.8974706014</v>
      </c>
      <c r="T36" s="15">
        <f>S36/((1+Settings!$B$11/100)^MAX(0,Settings!$B$5-B36))</f>
        <v>3337963.8974706014</v>
      </c>
      <c r="U36" t="str">
        <f t="shared" si="12"/>
        <v>🔥 FI Reached</v>
      </c>
      <c r="V36" s="1">
        <f t="shared" si="13"/>
        <v>0</v>
      </c>
    </row>
    <row r="37" spans="1:22" x14ac:dyDescent="0.35">
      <c r="A37">
        <v>2058</v>
      </c>
      <c r="B37">
        <f t="shared" si="14"/>
        <v>72</v>
      </c>
      <c r="C37" s="15">
        <f>SUMPRODUCT((Income!$E$3:$E$49&lt;=A37)*(Income!$F$3:$F$49&gt;=A37)*(Income!$C$3:$C$49)*(1+Income!$D$3:$D$49/100)^(A37-Income!$E$3:$E$49))</f>
        <v>0</v>
      </c>
      <c r="D37" s="15">
        <f>C37*(Settings!$B$7/100)</f>
        <v>0</v>
      </c>
      <c r="E37" s="15">
        <f t="shared" si="8"/>
        <v>0</v>
      </c>
      <c r="F37" s="15">
        <f>IF('Simple Budget'!$B$2="Yes",SUMPRODUCT(('Simple Budget'!$E$4:$E$50&lt;=A37)*('Simple Budget'!$F$4:$F$50&gt;=A37)*('Simple Budget'!$B$4:$B$50)*(1+'Simple Budget'!$C$4:$C$50/100)^(A37-'Simple Budget'!$E$4:$E$50)),SUMPRODUCT(('Detailed Budget'!$E$3:$E$105&lt;=A37)*('Detailed Budget'!$F$3:$F$105&gt;=A37)*('Detailed Budget'!$C$3:$C$105)*12*(1+Settings!$B$9/100)^(A37-2024)))</f>
        <v>137524.11257578875</v>
      </c>
      <c r="G37" s="23">
        <v>0</v>
      </c>
      <c r="H37" s="15">
        <f t="shared" si="7"/>
        <v>-137524.11257578875</v>
      </c>
      <c r="I37" s="15">
        <f>I36*(1+IFERROR(AVERAGEIFS(Assets!$D$3:$D$51,Assets!$G$3:$G$51,"Taxable")/100,Settings!$B$11/100))+MAX(0,H37)-N37</f>
        <v>2029159.9494125603</v>
      </c>
      <c r="J37" s="15">
        <f>J36*(1+IFERROR(AVERAGEIFS(Assets!$D$3:$D$51,Assets!$G$3:$G$51,"Pre-Tax")/100,Settings!$B$11/100))-O37</f>
        <v>1995622.7074047581</v>
      </c>
      <c r="K37" s="15">
        <f>K36*(1+IFERROR(AVERAGEIFS(Assets!$D$3:$D$51,Assets!$G$3:$G$51,"Tax-Free")/100,Settings!$B$11/100))-P37</f>
        <v>853721.17663239082</v>
      </c>
      <c r="L37" s="15">
        <f t="shared" si="9"/>
        <v>4878503.8334497092</v>
      </c>
      <c r="M37" s="15">
        <f t="shared" si="10"/>
        <v>137524.11257578875</v>
      </c>
      <c r="N37" s="15">
        <f>MIN(M37,I36*(1+IFERROR(AVERAGEIFS(Assets!$D$3:$D$51,Assets!$G$3:$G$51,"Taxable")/100,Settings!$B$11/100)))</f>
        <v>137524.11257578875</v>
      </c>
      <c r="O37" s="15">
        <f>IF(B37&gt;=59.5,MIN(M37-N37,J36*(1+IFERROR(AVERAGEIFS(Assets!$D$3:$D$51,Assets!$G$3:$G$51,"Pre-Tax")/100,Settings!$B$11/100))),0)</f>
        <v>0</v>
      </c>
      <c r="P37" s="15">
        <f>MIN(M37-N37-O37,K36*(1+IFERROR(AVERAGEIFS(Assets!$D$3:$D$51,Assets!$G$3:$G$51,"Tax-Free")/100,Settings!$B$11/100)))</f>
        <v>0</v>
      </c>
      <c r="Q37" s="15">
        <f t="shared" si="11"/>
        <v>0</v>
      </c>
      <c r="R37" s="15">
        <f>L37+SUMIF(Assets!$H$3:$H$51,"Real Estate",Assets!$C$3:$C$51)-SUM(Liabilities!$D$3:$D$52)</f>
        <v>4603503.8334497092</v>
      </c>
      <c r="S37" s="15">
        <f>F37/(Settings!$B$10/100)</f>
        <v>3438102.8143947185</v>
      </c>
      <c r="T37" s="15">
        <f>S37/((1+Settings!$B$11/100)^MAX(0,Settings!$B$5-B37))</f>
        <v>3438102.8143947185</v>
      </c>
      <c r="U37" t="str">
        <f t="shared" si="12"/>
        <v>🔥 FI Reached</v>
      </c>
      <c r="V37" s="1">
        <f t="shared" si="13"/>
        <v>0</v>
      </c>
    </row>
    <row r="38" spans="1:22" x14ac:dyDescent="0.35">
      <c r="A38">
        <v>2059</v>
      </c>
      <c r="B38">
        <f t="shared" si="14"/>
        <v>73</v>
      </c>
      <c r="C38" s="15">
        <f>SUMPRODUCT((Income!$E$3:$E$49&lt;=A38)*(Income!$F$3:$F$49&gt;=A38)*(Income!$C$3:$C$49)*(1+Income!$D$3:$D$49/100)^(A38-Income!$E$3:$E$49))</f>
        <v>0</v>
      </c>
      <c r="D38" s="15">
        <f>C38*(Settings!$B$7/100)</f>
        <v>0</v>
      </c>
      <c r="E38" s="15">
        <f t="shared" si="8"/>
        <v>0</v>
      </c>
      <c r="F38" s="15">
        <f>IF('Simple Budget'!$B$2="Yes",SUMPRODUCT(('Simple Budget'!$E$4:$E$50&lt;=A38)*('Simple Budget'!$F$4:$F$50&gt;=A38)*('Simple Budget'!$B$4:$B$50)*(1+'Simple Budget'!$C$4:$C$50/100)^(A38-'Simple Budget'!$E$4:$E$50)),SUMPRODUCT(('Detailed Budget'!$E$3:$E$105&lt;=A38)*('Detailed Budget'!$F$3:$F$105&gt;=A38)*('Detailed Budget'!$C$3:$C$105)*12*(1+Settings!$B$9/100)^(A38-2024)))</f>
        <v>141649.83595306246</v>
      </c>
      <c r="G38" s="23">
        <v>0</v>
      </c>
      <c r="H38" s="15">
        <f t="shared" si="7"/>
        <v>-141649.83595306246</v>
      </c>
      <c r="I38" s="15">
        <f>I37*(1+IFERROR(AVERAGEIFS(Assets!$D$3:$D$51,Assets!$G$3:$G$51,"Taxable")/100,Settings!$B$11/100))+MAX(0,H38)-N38</f>
        <v>1948384.9119418748</v>
      </c>
      <c r="J38" s="15">
        <f>J37*(1+IFERROR(AVERAGEIFS(Assets!$D$3:$D$51,Assets!$G$3:$G$51,"Pre-Tax")/100,Settings!$B$11/100))-O38</f>
        <v>2135316.2969230912</v>
      </c>
      <c r="K38" s="15">
        <f>K37*(1+IFERROR(AVERAGEIFS(Assets!$D$3:$D$51,Assets!$G$3:$G$51,"Tax-Free")/100,Settings!$B$11/100))-P38</f>
        <v>887870.0236976865</v>
      </c>
      <c r="L38" s="15">
        <f t="shared" si="9"/>
        <v>4971571.2325626528</v>
      </c>
      <c r="M38" s="15">
        <f t="shared" si="10"/>
        <v>141649.83595306246</v>
      </c>
      <c r="N38" s="15">
        <f>MIN(M38,I37*(1+IFERROR(AVERAGEIFS(Assets!$D$3:$D$51,Assets!$G$3:$G$51,"Taxable")/100,Settings!$B$11/100)))</f>
        <v>141649.83595306246</v>
      </c>
      <c r="O38" s="15">
        <f>IF(B38&gt;=59.5,MIN(M38-N38,J37*(1+IFERROR(AVERAGEIFS(Assets!$D$3:$D$51,Assets!$G$3:$G$51,"Pre-Tax")/100,Settings!$B$11/100))),0)</f>
        <v>0</v>
      </c>
      <c r="P38" s="15">
        <f>MIN(M38-N38-O38,K37*(1+IFERROR(AVERAGEIFS(Assets!$D$3:$D$51,Assets!$G$3:$G$51,"Tax-Free")/100,Settings!$B$11/100)))</f>
        <v>0</v>
      </c>
      <c r="Q38" s="15">
        <f t="shared" si="11"/>
        <v>0</v>
      </c>
      <c r="R38" s="15">
        <f>L38+SUMIF(Assets!$H$3:$H$51,"Real Estate",Assets!$C$3:$C$51)-SUM(Liabilities!$D$3:$D$52)</f>
        <v>4696571.2325626528</v>
      </c>
      <c r="S38" s="15">
        <f>F38/(Settings!$B$10/100)</f>
        <v>3541245.8988265614</v>
      </c>
      <c r="T38" s="15">
        <f>S38/((1+Settings!$B$11/100)^MAX(0,Settings!$B$5-B38))</f>
        <v>3541245.8988265614</v>
      </c>
      <c r="U38" t="str">
        <f t="shared" si="12"/>
        <v>🔥 FI Reached</v>
      </c>
      <c r="V38" s="1">
        <f t="shared" si="13"/>
        <v>0</v>
      </c>
    </row>
    <row r="39" spans="1:22" x14ac:dyDescent="0.35">
      <c r="A39">
        <v>2060</v>
      </c>
      <c r="B39">
        <f t="shared" si="14"/>
        <v>74</v>
      </c>
      <c r="C39" s="15">
        <f>SUMPRODUCT((Income!$E$3:$E$49&lt;=A39)*(Income!$F$3:$F$49&gt;=A39)*(Income!$C$3:$C$49)*(1+Income!$D$3:$D$49/100)^(A39-Income!$E$3:$E$49))</f>
        <v>0</v>
      </c>
      <c r="D39" s="15">
        <f>C39*(Settings!$B$7/100)</f>
        <v>0</v>
      </c>
      <c r="E39" s="15">
        <f t="shared" si="8"/>
        <v>0</v>
      </c>
      <c r="F39" s="15">
        <f>IF('Simple Budget'!$B$2="Yes",SUMPRODUCT(('Simple Budget'!$E$4:$E$50&lt;=A39)*('Simple Budget'!$F$4:$F$50&gt;=A39)*('Simple Budget'!$B$4:$B$50)*(1+'Simple Budget'!$C$4:$C$50/100)^(A39-'Simple Budget'!$E$4:$E$50)),SUMPRODUCT(('Detailed Budget'!$E$3:$E$105&lt;=A39)*('Detailed Budget'!$F$3:$F$105&gt;=A39)*('Detailed Budget'!$C$3:$C$105)*12*(1+Settings!$B$9/100)^(A39-2024)))</f>
        <v>145899.33103165432</v>
      </c>
      <c r="G39" s="23">
        <v>0</v>
      </c>
      <c r="H39" s="15">
        <f t="shared" si="7"/>
        <v>-145899.33103165432</v>
      </c>
      <c r="I39" s="15">
        <f>I38*(1+IFERROR(AVERAGEIFS(Assets!$D$3:$D$51,Assets!$G$3:$G$51,"Taxable")/100,Settings!$B$11/100))+MAX(0,H39)-N39</f>
        <v>1860937.1282684768</v>
      </c>
      <c r="J39" s="15">
        <f>J38*(1+IFERROR(AVERAGEIFS(Assets!$D$3:$D$51,Assets!$G$3:$G$51,"Pre-Tax")/100,Settings!$B$11/100))-O39</f>
        <v>2284788.4377077078</v>
      </c>
      <c r="K39" s="15">
        <f>K38*(1+IFERROR(AVERAGEIFS(Assets!$D$3:$D$51,Assets!$G$3:$G$51,"Tax-Free")/100,Settings!$B$11/100))-P39</f>
        <v>923384.824645594</v>
      </c>
      <c r="L39" s="15">
        <f t="shared" si="9"/>
        <v>5069110.3906217786</v>
      </c>
      <c r="M39" s="15">
        <f t="shared" si="10"/>
        <v>145899.33103165432</v>
      </c>
      <c r="N39" s="15">
        <f>MIN(M39,I38*(1+IFERROR(AVERAGEIFS(Assets!$D$3:$D$51,Assets!$G$3:$G$51,"Taxable")/100,Settings!$B$11/100)))</f>
        <v>145899.33103165432</v>
      </c>
      <c r="O39" s="15">
        <f>IF(B39&gt;=59.5,MIN(M39-N39,J38*(1+IFERROR(AVERAGEIFS(Assets!$D$3:$D$51,Assets!$G$3:$G$51,"Pre-Tax")/100,Settings!$B$11/100))),0)</f>
        <v>0</v>
      </c>
      <c r="P39" s="15">
        <f>MIN(M39-N39-O39,K38*(1+IFERROR(AVERAGEIFS(Assets!$D$3:$D$51,Assets!$G$3:$G$51,"Tax-Free")/100,Settings!$B$11/100)))</f>
        <v>0</v>
      </c>
      <c r="Q39" s="15">
        <f t="shared" si="11"/>
        <v>0</v>
      </c>
      <c r="R39" s="15">
        <f>L39+SUMIF(Assets!$H$3:$H$51,"Real Estate",Assets!$C$3:$C$51)-SUM(Liabilities!$D$3:$D$52)</f>
        <v>4794110.3906217786</v>
      </c>
      <c r="S39" s="15">
        <f>F39/(Settings!$B$10/100)</f>
        <v>3647483.2757913577</v>
      </c>
      <c r="T39" s="15">
        <f>S39/((1+Settings!$B$11/100)^MAX(0,Settings!$B$5-B39))</f>
        <v>3647483.2757913577</v>
      </c>
      <c r="U39" t="str">
        <f t="shared" si="12"/>
        <v>🔥 FI Reached</v>
      </c>
      <c r="V39" s="1">
        <f t="shared" si="13"/>
        <v>0</v>
      </c>
    </row>
    <row r="40" spans="1:22" x14ac:dyDescent="0.35">
      <c r="A40">
        <v>2061</v>
      </c>
      <c r="B40">
        <f t="shared" si="14"/>
        <v>75</v>
      </c>
      <c r="C40" s="15">
        <f>SUMPRODUCT((Income!$E$3:$E$49&lt;=A40)*(Income!$F$3:$F$49&gt;=A40)*(Income!$C$3:$C$49)*(1+Income!$D$3:$D$49/100)^(A40-Income!$E$3:$E$49))</f>
        <v>0</v>
      </c>
      <c r="D40" s="15">
        <f>C40*(Settings!$B$7/100)</f>
        <v>0</v>
      </c>
      <c r="E40" s="15">
        <f t="shared" si="8"/>
        <v>0</v>
      </c>
      <c r="F40" s="15">
        <f>IF('Simple Budget'!$B$2="Yes",SUMPRODUCT(('Simple Budget'!$E$4:$E$50&lt;=A40)*('Simple Budget'!$F$4:$F$50&gt;=A40)*('Simple Budget'!$B$4:$B$50)*(1+'Simple Budget'!$C$4:$C$50/100)^(A40-'Simple Budget'!$E$4:$E$50)),SUMPRODUCT(('Detailed Budget'!$E$3:$E$105&lt;=A40)*('Detailed Budget'!$F$3:$F$105&gt;=A40)*('Detailed Budget'!$C$3:$C$105)*12*(1+Settings!$B$9/100)^(A40-2024)))</f>
        <v>150276.31096260389</v>
      </c>
      <c r="G40" s="23">
        <v>0</v>
      </c>
      <c r="H40" s="15">
        <f t="shared" si="7"/>
        <v>-150276.31096260389</v>
      </c>
      <c r="I40" s="15">
        <f>I39*(1+IFERROR(AVERAGEIFS(Assets!$D$3:$D$51,Assets!$G$3:$G$51,"Taxable")/100,Settings!$B$11/100))+MAX(0,H40)-N40</f>
        <v>1766488.9311539272</v>
      </c>
      <c r="J40" s="15">
        <f>J39*(1+IFERROR(AVERAGEIFS(Assets!$D$3:$D$51,Assets!$G$3:$G$51,"Pre-Tax")/100,Settings!$B$11/100))-O40</f>
        <v>2444723.6283472474</v>
      </c>
      <c r="K40" s="15">
        <f>K39*(1+IFERROR(AVERAGEIFS(Assets!$D$3:$D$51,Assets!$G$3:$G$51,"Tax-Free")/100,Settings!$B$11/100))-P40</f>
        <v>960320.21763141779</v>
      </c>
      <c r="L40" s="15">
        <f t="shared" si="9"/>
        <v>5171532.7771325931</v>
      </c>
      <c r="M40" s="15">
        <f t="shared" si="10"/>
        <v>150276.31096260389</v>
      </c>
      <c r="N40" s="15">
        <f>MIN(M40,I39*(1+IFERROR(AVERAGEIFS(Assets!$D$3:$D$51,Assets!$G$3:$G$51,"Taxable")/100,Settings!$B$11/100)))</f>
        <v>150276.31096260389</v>
      </c>
      <c r="O40" s="15">
        <f>IF(B40&gt;=59.5,MIN(M40-N40,J39*(1+IFERROR(AVERAGEIFS(Assets!$D$3:$D$51,Assets!$G$3:$G$51,"Pre-Tax")/100,Settings!$B$11/100))),0)</f>
        <v>0</v>
      </c>
      <c r="P40" s="15">
        <f>MIN(M40-N40-O40,K39*(1+IFERROR(AVERAGEIFS(Assets!$D$3:$D$51,Assets!$G$3:$G$51,"Tax-Free")/100,Settings!$B$11/100)))</f>
        <v>0</v>
      </c>
      <c r="Q40" s="15">
        <f t="shared" si="11"/>
        <v>0</v>
      </c>
      <c r="R40" s="15">
        <f>L40+SUMIF(Assets!$H$3:$H$51,"Real Estate",Assets!$C$3:$C$51)-SUM(Liabilities!$D$3:$D$52)</f>
        <v>4896532.7771325931</v>
      </c>
      <c r="S40" s="15">
        <f>F40/(Settings!$B$10/100)</f>
        <v>3756907.7740650973</v>
      </c>
      <c r="T40" s="15">
        <f>S40/((1+Settings!$B$11/100)^MAX(0,Settings!$B$5-B40))</f>
        <v>3756907.7740650973</v>
      </c>
      <c r="U40" t="str">
        <f t="shared" si="12"/>
        <v>🔥 FI Reached</v>
      </c>
      <c r="V40" s="1">
        <f t="shared" si="13"/>
        <v>0</v>
      </c>
    </row>
    <row r="41" spans="1:22" x14ac:dyDescent="0.35">
      <c r="A41">
        <v>2062</v>
      </c>
      <c r="B41">
        <f t="shared" si="14"/>
        <v>76</v>
      </c>
      <c r="C41" s="15">
        <f>SUMPRODUCT((Income!$E$3:$E$49&lt;=A41)*(Income!$F$3:$F$49&gt;=A41)*(Income!$C$3:$C$49)*(1+Income!$D$3:$D$49/100)^(A41-Income!$E$3:$E$49))</f>
        <v>0</v>
      </c>
      <c r="D41" s="15">
        <f>C41*(Settings!$B$7/100)</f>
        <v>0</v>
      </c>
      <c r="E41" s="15">
        <f t="shared" si="8"/>
        <v>0</v>
      </c>
      <c r="F41" s="15">
        <f>IF('Simple Budget'!$B$2="Yes",SUMPRODUCT(('Simple Budget'!$E$4:$E$50&lt;=A41)*('Simple Budget'!$F$4:$F$50&gt;=A41)*('Simple Budget'!$B$4:$B$50)*(1+'Simple Budget'!$C$4:$C$50/100)^(A41-'Simple Budget'!$E$4:$E$50)),SUMPRODUCT(('Detailed Budget'!$E$3:$E$105&lt;=A41)*('Detailed Budget'!$F$3:$F$105&gt;=A41)*('Detailed Budget'!$C$3:$C$105)*12*(1+Settings!$B$9/100)^(A41-2024)))</f>
        <v>154784.60029148203</v>
      </c>
      <c r="G41" s="23">
        <v>0</v>
      </c>
      <c r="H41" s="15">
        <f t="shared" si="7"/>
        <v>-154784.60029148203</v>
      </c>
      <c r="I41" s="15">
        <f>I40*(1+IFERROR(AVERAGEIFS(Assets!$D$3:$D$51,Assets!$G$3:$G$51,"Taxable")/100,Settings!$B$11/100))+MAX(0,H41)-N41</f>
        <v>1664698.9987970633</v>
      </c>
      <c r="J41" s="15">
        <f>J40*(1+IFERROR(AVERAGEIFS(Assets!$D$3:$D$51,Assets!$G$3:$G$51,"Pre-Tax")/100,Settings!$B$11/100))-O41</f>
        <v>2615854.2823315547</v>
      </c>
      <c r="K41" s="15">
        <f>K40*(1+IFERROR(AVERAGEIFS(Assets!$D$3:$D$51,Assets!$G$3:$G$51,"Tax-Free")/100,Settings!$B$11/100))-P41</f>
        <v>998733.02633667458</v>
      </c>
      <c r="L41" s="15">
        <f t="shared" si="9"/>
        <v>5279286.3074652925</v>
      </c>
      <c r="M41" s="15">
        <f t="shared" si="10"/>
        <v>154784.60029148203</v>
      </c>
      <c r="N41" s="15">
        <f>MIN(M41,I40*(1+IFERROR(AVERAGEIFS(Assets!$D$3:$D$51,Assets!$G$3:$G$51,"Taxable")/100,Settings!$B$11/100)))</f>
        <v>154784.60029148203</v>
      </c>
      <c r="O41" s="15">
        <f>IF(B41&gt;=59.5,MIN(M41-N41,J40*(1+IFERROR(AVERAGEIFS(Assets!$D$3:$D$51,Assets!$G$3:$G$51,"Pre-Tax")/100,Settings!$B$11/100))),0)</f>
        <v>0</v>
      </c>
      <c r="P41" s="15">
        <f>MIN(M41-N41-O41,K40*(1+IFERROR(AVERAGEIFS(Assets!$D$3:$D$51,Assets!$G$3:$G$51,"Tax-Free")/100,Settings!$B$11/100)))</f>
        <v>0</v>
      </c>
      <c r="Q41" s="15">
        <f t="shared" si="11"/>
        <v>0</v>
      </c>
      <c r="R41" s="15">
        <f>L41+SUMIF(Assets!$H$3:$H$51,"Real Estate",Assets!$C$3:$C$51)-SUM(Liabilities!$D$3:$D$52)</f>
        <v>5004286.3074652925</v>
      </c>
      <c r="S41" s="15">
        <f>F41/(Settings!$B$10/100)</f>
        <v>3869615.0072870506</v>
      </c>
      <c r="T41" s="15">
        <f>S41/((1+Settings!$B$11/100)^MAX(0,Settings!$B$5-B41))</f>
        <v>3869615.0072870506</v>
      </c>
      <c r="U41" t="str">
        <f t="shared" si="12"/>
        <v>🔥 FI Reached</v>
      </c>
      <c r="V41" s="1">
        <f t="shared" si="13"/>
        <v>0</v>
      </c>
    </row>
    <row r="42" spans="1:22" x14ac:dyDescent="0.35">
      <c r="A42">
        <v>2063</v>
      </c>
      <c r="B42">
        <f t="shared" si="14"/>
        <v>77</v>
      </c>
      <c r="C42" s="15">
        <f>SUMPRODUCT((Income!$E$3:$E$49&lt;=A42)*(Income!$F$3:$F$49&gt;=A42)*(Income!$C$3:$C$49)*(1+Income!$D$3:$D$49/100)^(A42-Income!$E$3:$E$49))</f>
        <v>0</v>
      </c>
      <c r="D42" s="15">
        <f>C42*(Settings!$B$7/100)</f>
        <v>0</v>
      </c>
      <c r="E42" s="15">
        <f t="shared" si="8"/>
        <v>0</v>
      </c>
      <c r="F42" s="15">
        <f>IF('Simple Budget'!$B$2="Yes",SUMPRODUCT(('Simple Budget'!$E$4:$E$50&lt;=A42)*('Simple Budget'!$F$4:$F$50&gt;=A42)*('Simple Budget'!$B$4:$B$50)*(1+'Simple Budget'!$C$4:$C$50/100)^(A42-'Simple Budget'!$E$4:$E$50)),SUMPRODUCT(('Detailed Budget'!$E$3:$E$105&lt;=A42)*('Detailed Budget'!$F$3:$F$105&gt;=A42)*('Detailed Budget'!$C$3:$C$105)*12*(1+Settings!$B$9/100)^(A42-2024)))</f>
        <v>159428.13830022651</v>
      </c>
      <c r="G42" s="23">
        <v>0</v>
      </c>
      <c r="H42" s="15">
        <f t="shared" si="7"/>
        <v>-159428.13830022651</v>
      </c>
      <c r="I42" s="15">
        <f>I41*(1+IFERROR(AVERAGEIFS(Assets!$D$3:$D$51,Assets!$G$3:$G$51,"Taxable")/100,Settings!$B$11/100))+MAX(0,H42)-N42</f>
        <v>1555211.8304607486</v>
      </c>
      <c r="J42" s="15">
        <f>J41*(1+IFERROR(AVERAGEIFS(Assets!$D$3:$D$51,Assets!$G$3:$G$51,"Pre-Tax")/100,Settings!$B$11/100))-O42</f>
        <v>2798964.0820947639</v>
      </c>
      <c r="K42" s="15">
        <f>K41*(1+IFERROR(AVERAGEIFS(Assets!$D$3:$D$51,Assets!$G$3:$G$51,"Tax-Free")/100,Settings!$B$11/100))-P42</f>
        <v>1038682.3473901416</v>
      </c>
      <c r="L42" s="15">
        <f t="shared" si="9"/>
        <v>5392858.2599456534</v>
      </c>
      <c r="M42" s="15">
        <f t="shared" si="10"/>
        <v>159428.13830022651</v>
      </c>
      <c r="N42" s="15">
        <f>MIN(M42,I41*(1+IFERROR(AVERAGEIFS(Assets!$D$3:$D$51,Assets!$G$3:$G$51,"Taxable")/100,Settings!$B$11/100)))</f>
        <v>159428.13830022651</v>
      </c>
      <c r="O42" s="15">
        <f>IF(B42&gt;=59.5,MIN(M42-N42,J41*(1+IFERROR(AVERAGEIFS(Assets!$D$3:$D$51,Assets!$G$3:$G$51,"Pre-Tax")/100,Settings!$B$11/100))),0)</f>
        <v>0</v>
      </c>
      <c r="P42" s="15">
        <f>MIN(M42-N42-O42,K41*(1+IFERROR(AVERAGEIFS(Assets!$D$3:$D$51,Assets!$G$3:$G$51,"Tax-Free")/100,Settings!$B$11/100)))</f>
        <v>0</v>
      </c>
      <c r="Q42" s="15">
        <f t="shared" si="11"/>
        <v>0</v>
      </c>
      <c r="R42" s="15">
        <f>L42+SUMIF(Assets!$H$3:$H$51,"Real Estate",Assets!$C$3:$C$51)-SUM(Liabilities!$D$3:$D$52)</f>
        <v>5117858.2599456534</v>
      </c>
      <c r="S42" s="15">
        <f>F42/(Settings!$B$10/100)</f>
        <v>3985703.4575056625</v>
      </c>
      <c r="T42" s="15">
        <f>S42/((1+Settings!$B$11/100)^MAX(0,Settings!$B$5-B42))</f>
        <v>3985703.4575056625</v>
      </c>
      <c r="U42" t="str">
        <f t="shared" si="12"/>
        <v>🔥 FI Reached</v>
      </c>
      <c r="V42" s="1">
        <f t="shared" si="13"/>
        <v>0</v>
      </c>
    </row>
    <row r="43" spans="1:22" x14ac:dyDescent="0.35">
      <c r="A43">
        <v>2064</v>
      </c>
      <c r="B43">
        <f t="shared" si="14"/>
        <v>78</v>
      </c>
      <c r="C43" s="15">
        <f>SUMPRODUCT((Income!$E$3:$E$49&lt;=A43)*(Income!$F$3:$F$49&gt;=A43)*(Income!$C$3:$C$49)*(1+Income!$D$3:$D$49/100)^(A43-Income!$E$3:$E$49))</f>
        <v>0</v>
      </c>
      <c r="D43" s="15">
        <f>C43*(Settings!$B$7/100)</f>
        <v>0</v>
      </c>
      <c r="E43" s="15">
        <f t="shared" si="8"/>
        <v>0</v>
      </c>
      <c r="F43" s="15">
        <f>IF('Simple Budget'!$B$2="Yes",SUMPRODUCT(('Simple Budget'!$E$4:$E$50&lt;=A43)*('Simple Budget'!$F$4:$F$50&gt;=A43)*('Simple Budget'!$B$4:$B$50)*(1+'Simple Budget'!$C$4:$C$50/100)^(A43-'Simple Budget'!$E$4:$E$50)),SUMPRODUCT(('Detailed Budget'!$E$3:$E$105&lt;=A43)*('Detailed Budget'!$F$3:$F$105&gt;=A43)*('Detailed Budget'!$C$3:$C$105)*12*(1+Settings!$B$9/100)^(A43-2024)))</f>
        <v>164210.98244923327</v>
      </c>
      <c r="G43" s="23">
        <v>0</v>
      </c>
      <c r="H43" s="15">
        <f t="shared" si="7"/>
        <v>-164210.98244923327</v>
      </c>
      <c r="I43" s="15">
        <f>I42*(1+IFERROR(AVERAGEIFS(Assets!$D$3:$D$51,Assets!$G$3:$G$51,"Taxable")/100,Settings!$B$11/100))+MAX(0,H43)-N43</f>
        <v>1437657.2029253379</v>
      </c>
      <c r="J43" s="15">
        <f>J42*(1+IFERROR(AVERAGEIFS(Assets!$D$3:$D$51,Assets!$G$3:$G$51,"Pre-Tax")/100,Settings!$B$11/100))-O43</f>
        <v>2994891.5678413976</v>
      </c>
      <c r="K43" s="15">
        <f>K42*(1+IFERROR(AVERAGEIFS(Assets!$D$3:$D$51,Assets!$G$3:$G$51,"Tax-Free")/100,Settings!$B$11/100))-P43</f>
        <v>1080229.6412857473</v>
      </c>
      <c r="L43" s="15">
        <f t="shared" si="9"/>
        <v>5512778.4120524824</v>
      </c>
      <c r="M43" s="15">
        <f t="shared" si="10"/>
        <v>164210.98244923327</v>
      </c>
      <c r="N43" s="15">
        <f>MIN(M43,I42*(1+IFERROR(AVERAGEIFS(Assets!$D$3:$D$51,Assets!$G$3:$G$51,"Taxable")/100,Settings!$B$11/100)))</f>
        <v>164210.98244923327</v>
      </c>
      <c r="O43" s="15">
        <f>IF(B43&gt;=59.5,MIN(M43-N43,J42*(1+IFERROR(AVERAGEIFS(Assets!$D$3:$D$51,Assets!$G$3:$G$51,"Pre-Tax")/100,Settings!$B$11/100))),0)</f>
        <v>0</v>
      </c>
      <c r="P43" s="15">
        <f>MIN(M43-N43-O43,K42*(1+IFERROR(AVERAGEIFS(Assets!$D$3:$D$51,Assets!$G$3:$G$51,"Tax-Free")/100,Settings!$B$11/100)))</f>
        <v>0</v>
      </c>
      <c r="Q43" s="15">
        <f t="shared" si="11"/>
        <v>0</v>
      </c>
      <c r="R43" s="15">
        <f>L43+SUMIF(Assets!$H$3:$H$51,"Real Estate",Assets!$C$3:$C$51)-SUM(Liabilities!$D$3:$D$52)</f>
        <v>5237778.4120524824</v>
      </c>
      <c r="S43" s="15">
        <f>F43/(Settings!$B$10/100)</f>
        <v>4105274.5612308318</v>
      </c>
      <c r="T43" s="15">
        <f>S43/((1+Settings!$B$11/100)^MAX(0,Settings!$B$5-B43))</f>
        <v>4105274.5612308318</v>
      </c>
      <c r="U43" t="str">
        <f t="shared" si="12"/>
        <v>🔥 FI Reached</v>
      </c>
      <c r="V43" s="1">
        <f t="shared" si="13"/>
        <v>0</v>
      </c>
    </row>
    <row r="44" spans="1:22" x14ac:dyDescent="0.35">
      <c r="A44">
        <v>2065</v>
      </c>
      <c r="B44">
        <f t="shared" si="14"/>
        <v>79</v>
      </c>
      <c r="C44" s="15">
        <f>SUMPRODUCT((Income!$E$3:$E$49&lt;=A44)*(Income!$F$3:$F$49&gt;=A44)*(Income!$C$3:$C$49)*(1+Income!$D$3:$D$49/100)^(A44-Income!$E$3:$E$49))</f>
        <v>0</v>
      </c>
      <c r="D44" s="15">
        <f>C44*(Settings!$B$7/100)</f>
        <v>0</v>
      </c>
      <c r="E44" s="15">
        <f t="shared" si="8"/>
        <v>0</v>
      </c>
      <c r="F44" s="15">
        <f>IF('Simple Budget'!$B$2="Yes",SUMPRODUCT(('Simple Budget'!$E$4:$E$50&lt;=A44)*('Simple Budget'!$F$4:$F$50&gt;=A44)*('Simple Budget'!$B$4:$B$50)*(1+'Simple Budget'!$C$4:$C$50/100)^(A44-'Simple Budget'!$E$4:$E$50)),SUMPRODUCT(('Detailed Budget'!$E$3:$E$105&lt;=A44)*('Detailed Budget'!$F$3:$F$105&gt;=A44)*('Detailed Budget'!$C$3:$C$105)*12*(1+Settings!$B$9/100)^(A44-2024)))</f>
        <v>169137.3119227103</v>
      </c>
      <c r="G44" s="23">
        <v>0</v>
      </c>
      <c r="H44" s="15">
        <f t="shared" si="7"/>
        <v>-169137.3119227103</v>
      </c>
      <c r="I44" s="15">
        <f>I43*(1+IFERROR(AVERAGEIFS(Assets!$D$3:$D$51,Assets!$G$3:$G$51,"Taxable")/100,Settings!$B$11/100))+MAX(0,H44)-N44</f>
        <v>1311649.6070903877</v>
      </c>
      <c r="J44" s="15">
        <f>J43*(1+IFERROR(AVERAGEIFS(Assets!$D$3:$D$51,Assets!$G$3:$G$51,"Pre-Tax")/100,Settings!$B$11/100))-O44</f>
        <v>3204533.9775902955</v>
      </c>
      <c r="K44" s="15">
        <f>K43*(1+IFERROR(AVERAGEIFS(Assets!$D$3:$D$51,Assets!$G$3:$G$51,"Tax-Free")/100,Settings!$B$11/100))-P44</f>
        <v>1123438.8269371772</v>
      </c>
      <c r="L44" s="15">
        <f t="shared" si="9"/>
        <v>5639622.4116178602</v>
      </c>
      <c r="M44" s="15">
        <f t="shared" si="10"/>
        <v>169137.3119227103</v>
      </c>
      <c r="N44" s="15">
        <f>MIN(M44,I43*(1+IFERROR(AVERAGEIFS(Assets!$D$3:$D$51,Assets!$G$3:$G$51,"Taxable")/100,Settings!$B$11/100)))</f>
        <v>169137.3119227103</v>
      </c>
      <c r="O44" s="15">
        <f>IF(B44&gt;=59.5,MIN(M44-N44,J43*(1+IFERROR(AVERAGEIFS(Assets!$D$3:$D$51,Assets!$G$3:$G$51,"Pre-Tax")/100,Settings!$B$11/100))),0)</f>
        <v>0</v>
      </c>
      <c r="P44" s="15">
        <f>MIN(M44-N44-O44,K43*(1+IFERROR(AVERAGEIFS(Assets!$D$3:$D$51,Assets!$G$3:$G$51,"Tax-Free")/100,Settings!$B$11/100)))</f>
        <v>0</v>
      </c>
      <c r="Q44" s="15">
        <f t="shared" si="11"/>
        <v>0</v>
      </c>
      <c r="R44" s="15">
        <f>L44+SUMIF(Assets!$H$3:$H$51,"Real Estate",Assets!$C$3:$C$51)-SUM(Liabilities!$D$3:$D$52)</f>
        <v>5364622.4116178602</v>
      </c>
      <c r="S44" s="15">
        <f>F44/(Settings!$B$10/100)</f>
        <v>4228432.7980677579</v>
      </c>
      <c r="T44" s="15">
        <f>S44/((1+Settings!$B$11/100)^MAX(0,Settings!$B$5-B44))</f>
        <v>4228432.7980677579</v>
      </c>
      <c r="U44" t="str">
        <f t="shared" si="12"/>
        <v>🔥 FI Reached</v>
      </c>
      <c r="V44" s="1">
        <f t="shared" si="13"/>
        <v>0</v>
      </c>
    </row>
    <row r="45" spans="1:22" x14ac:dyDescent="0.35">
      <c r="A45">
        <v>2066</v>
      </c>
      <c r="B45">
        <f t="shared" si="14"/>
        <v>80</v>
      </c>
      <c r="C45" s="15">
        <f>SUMPRODUCT((Income!$E$3:$E$49&lt;=A45)*(Income!$F$3:$F$49&gt;=A45)*(Income!$C$3:$C$49)*(1+Income!$D$3:$D$49/100)^(A45-Income!$E$3:$E$49))</f>
        <v>0</v>
      </c>
      <c r="D45" s="15">
        <f>C45*(Settings!$B$7/100)</f>
        <v>0</v>
      </c>
      <c r="E45" s="15">
        <f t="shared" si="8"/>
        <v>0</v>
      </c>
      <c r="F45" s="15">
        <f>IF('Simple Budget'!$B$2="Yes",SUMPRODUCT(('Simple Budget'!$E$4:$E$50&lt;=A45)*('Simple Budget'!$F$4:$F$50&gt;=A45)*('Simple Budget'!$B$4:$B$50)*(1+'Simple Budget'!$C$4:$C$50/100)^(A45-'Simple Budget'!$E$4:$E$50)),SUMPRODUCT(('Detailed Budget'!$E$3:$E$105&lt;=A45)*('Detailed Budget'!$F$3:$F$105&gt;=A45)*('Detailed Budget'!$C$3:$C$105)*12*(1+Settings!$B$9/100)^(A45-2024)))</f>
        <v>174211.43128039161</v>
      </c>
      <c r="G45" s="23">
        <v>0</v>
      </c>
      <c r="H45" s="15">
        <f t="shared" si="7"/>
        <v>-174211.43128039161</v>
      </c>
      <c r="I45" s="15">
        <f>I44*(1+IFERROR(AVERAGEIFS(Assets!$D$3:$D$51,Assets!$G$3:$G$51,"Taxable")/100,Settings!$B$11/100))+MAX(0,H45)-N45</f>
        <v>1176787.6640227078</v>
      </c>
      <c r="J45" s="15">
        <f>J44*(1+IFERROR(AVERAGEIFS(Assets!$D$3:$D$51,Assets!$G$3:$G$51,"Pre-Tax")/100,Settings!$B$11/100))-O45</f>
        <v>3428851.3560216161</v>
      </c>
      <c r="K45" s="15">
        <f>K44*(1+IFERROR(AVERAGEIFS(Assets!$D$3:$D$51,Assets!$G$3:$G$51,"Tax-Free")/100,Settings!$B$11/100))-P45</f>
        <v>1168376.3800146643</v>
      </c>
      <c r="L45" s="15">
        <f t="shared" si="9"/>
        <v>5774015.4000589885</v>
      </c>
      <c r="M45" s="15">
        <f t="shared" si="10"/>
        <v>174211.43128039161</v>
      </c>
      <c r="N45" s="15">
        <f>MIN(M45,I44*(1+IFERROR(AVERAGEIFS(Assets!$D$3:$D$51,Assets!$G$3:$G$51,"Taxable")/100,Settings!$B$11/100)))</f>
        <v>174211.43128039161</v>
      </c>
      <c r="O45" s="15">
        <f>IF(B45&gt;=59.5,MIN(M45-N45,J44*(1+IFERROR(AVERAGEIFS(Assets!$D$3:$D$51,Assets!$G$3:$G$51,"Pre-Tax")/100,Settings!$B$11/100))),0)</f>
        <v>0</v>
      </c>
      <c r="P45" s="15">
        <f>MIN(M45-N45-O45,K44*(1+IFERROR(AVERAGEIFS(Assets!$D$3:$D$51,Assets!$G$3:$G$51,"Tax-Free")/100,Settings!$B$11/100)))</f>
        <v>0</v>
      </c>
      <c r="Q45" s="15">
        <f t="shared" si="11"/>
        <v>0</v>
      </c>
      <c r="R45" s="15">
        <f>L45+SUMIF(Assets!$H$3:$H$51,"Real Estate",Assets!$C$3:$C$51)-SUM(Liabilities!$D$3:$D$52)</f>
        <v>5499015.4000589885</v>
      </c>
      <c r="S45" s="15">
        <f>F45/(Settings!$B$10/100)</f>
        <v>4355285.7820097897</v>
      </c>
      <c r="T45" s="15">
        <f>S45/((1+Settings!$B$11/100)^MAX(0,Settings!$B$5-B45))</f>
        <v>4355285.7820097897</v>
      </c>
      <c r="U45" t="str">
        <f t="shared" si="12"/>
        <v>🔥 FI Reached</v>
      </c>
      <c r="V45" s="1">
        <f t="shared" si="13"/>
        <v>0</v>
      </c>
    </row>
    <row r="46" spans="1:22" x14ac:dyDescent="0.35">
      <c r="A46">
        <v>2067</v>
      </c>
      <c r="B46">
        <f t="shared" si="14"/>
        <v>81</v>
      </c>
      <c r="C46" s="15">
        <f>SUMPRODUCT((Income!$E$3:$E$49&lt;=A46)*(Income!$F$3:$F$49&gt;=A46)*(Income!$C$3:$C$49)*(1+Income!$D$3:$D$49/100)^(A46-Income!$E$3:$E$49))</f>
        <v>0</v>
      </c>
      <c r="D46" s="15">
        <f>C46*(Settings!$B$7/100)</f>
        <v>0</v>
      </c>
      <c r="E46" s="15">
        <f t="shared" si="8"/>
        <v>0</v>
      </c>
      <c r="F46" s="15">
        <f>IF('Simple Budget'!$B$2="Yes",SUMPRODUCT(('Simple Budget'!$E$4:$E$50&lt;=A46)*('Simple Budget'!$F$4:$F$50&gt;=A46)*('Simple Budget'!$B$4:$B$50)*(1+'Simple Budget'!$C$4:$C$50/100)^(A46-'Simple Budget'!$E$4:$E$50)),SUMPRODUCT(('Detailed Budget'!$E$3:$E$105&lt;=A46)*('Detailed Budget'!$F$3:$F$105&gt;=A46)*('Detailed Budget'!$C$3:$C$105)*12*(1+Settings!$B$9/100)^(A46-2024)))</f>
        <v>179437.77421880333</v>
      </c>
      <c r="G46" s="23">
        <v>0</v>
      </c>
      <c r="H46" s="15">
        <f t="shared" si="7"/>
        <v>-179437.77421880333</v>
      </c>
      <c r="I46" s="15">
        <f>I45*(1+IFERROR(AVERAGEIFS(Assets!$D$3:$D$51,Assets!$G$3:$G$51,"Taxable")/100,Settings!$B$11/100))+MAX(0,H46)-N46</f>
        <v>1032653.5197245858</v>
      </c>
      <c r="J46" s="15">
        <f>J45*(1+IFERROR(AVERAGEIFS(Assets!$D$3:$D$51,Assets!$G$3:$G$51,"Pre-Tax")/100,Settings!$B$11/100))-O46</f>
        <v>3668870.9509431296</v>
      </c>
      <c r="K46" s="15">
        <f>K45*(1+IFERROR(AVERAGEIFS(Assets!$D$3:$D$51,Assets!$G$3:$G$51,"Tax-Free")/100,Settings!$B$11/100))-P46</f>
        <v>1215111.4352152508</v>
      </c>
      <c r="L46" s="15">
        <f t="shared" si="9"/>
        <v>5916635.9058829658</v>
      </c>
      <c r="M46" s="15">
        <f t="shared" si="10"/>
        <v>179437.77421880333</v>
      </c>
      <c r="N46" s="15">
        <f>MIN(M46,I45*(1+IFERROR(AVERAGEIFS(Assets!$D$3:$D$51,Assets!$G$3:$G$51,"Taxable")/100,Settings!$B$11/100)))</f>
        <v>179437.77421880333</v>
      </c>
      <c r="O46" s="15">
        <f>IF(B46&gt;=59.5,MIN(M46-N46,J45*(1+IFERROR(AVERAGEIFS(Assets!$D$3:$D$51,Assets!$G$3:$G$51,"Pre-Tax")/100,Settings!$B$11/100))),0)</f>
        <v>0</v>
      </c>
      <c r="P46" s="15">
        <f>MIN(M46-N46-O46,K45*(1+IFERROR(AVERAGEIFS(Assets!$D$3:$D$51,Assets!$G$3:$G$51,"Tax-Free")/100,Settings!$B$11/100)))</f>
        <v>0</v>
      </c>
      <c r="Q46" s="15">
        <f t="shared" si="11"/>
        <v>0</v>
      </c>
      <c r="R46" s="15">
        <f>L46+SUMIF(Assets!$H$3:$H$51,"Real Estate",Assets!$C$3:$C$51)-SUM(Liabilities!$D$3:$D$52)</f>
        <v>5641635.9058829658</v>
      </c>
      <c r="S46" s="15">
        <f>F46/(Settings!$B$10/100)</f>
        <v>4485944.3554700827</v>
      </c>
      <c r="T46" s="15">
        <f>S46/((1+Settings!$B$11/100)^MAX(0,Settings!$B$5-B46))</f>
        <v>4485944.3554700827</v>
      </c>
      <c r="U46" t="str">
        <f t="shared" si="12"/>
        <v>🔥 FI Reached</v>
      </c>
      <c r="V46" s="1">
        <f t="shared" si="13"/>
        <v>0</v>
      </c>
    </row>
    <row r="47" spans="1:22" x14ac:dyDescent="0.35">
      <c r="A47">
        <v>2068</v>
      </c>
      <c r="B47">
        <f t="shared" si="14"/>
        <v>82</v>
      </c>
      <c r="C47" s="15">
        <f>SUMPRODUCT((Income!$E$3:$E$49&lt;=A47)*(Income!$F$3:$F$49&gt;=A47)*(Income!$C$3:$C$49)*(1+Income!$D$3:$D$49/100)^(A47-Income!$E$3:$E$49))</f>
        <v>0</v>
      </c>
      <c r="D47" s="15">
        <f>C47*(Settings!$B$7/100)</f>
        <v>0</v>
      </c>
      <c r="E47" s="15">
        <f t="shared" si="8"/>
        <v>0</v>
      </c>
      <c r="F47" s="15">
        <f>IF('Simple Budget'!$B$2="Yes",SUMPRODUCT(('Simple Budget'!$E$4:$E$50&lt;=A47)*('Simple Budget'!$F$4:$F$50&gt;=A47)*('Simple Budget'!$B$4:$B$50)*(1+'Simple Budget'!$C$4:$C$50/100)^(A47-'Simple Budget'!$E$4:$E$50)),SUMPRODUCT(('Detailed Budget'!$E$3:$E$105&lt;=A47)*('Detailed Budget'!$F$3:$F$105&gt;=A47)*('Detailed Budget'!$C$3:$C$105)*12*(1+Settings!$B$9/100)^(A47-2024)))</f>
        <v>184820.9074453674</v>
      </c>
      <c r="G47" s="23">
        <v>0</v>
      </c>
      <c r="H47" s="15">
        <f t="shared" si="7"/>
        <v>-184820.9074453674</v>
      </c>
      <c r="I47" s="15">
        <f>I46*(1+IFERROR(AVERAGEIFS(Assets!$D$3:$D$51,Assets!$G$3:$G$51,"Taxable")/100,Settings!$B$11/100))+MAX(0,H47)-N47</f>
        <v>878812.21787095605</v>
      </c>
      <c r="J47" s="15">
        <f>J46*(1+IFERROR(AVERAGEIFS(Assets!$D$3:$D$51,Assets!$G$3:$G$51,"Pre-Tax")/100,Settings!$B$11/100))-O47</f>
        <v>3925691.9175091488</v>
      </c>
      <c r="K47" s="15">
        <f>K46*(1+IFERROR(AVERAGEIFS(Assets!$D$3:$D$51,Assets!$G$3:$G$51,"Tax-Free")/100,Settings!$B$11/100))-P47</f>
        <v>1263715.8926238609</v>
      </c>
      <c r="L47" s="15">
        <f t="shared" si="9"/>
        <v>6068220.0280039664</v>
      </c>
      <c r="M47" s="15">
        <f t="shared" si="10"/>
        <v>184820.9074453674</v>
      </c>
      <c r="N47" s="15">
        <f>MIN(M47,I46*(1+IFERROR(AVERAGEIFS(Assets!$D$3:$D$51,Assets!$G$3:$G$51,"Taxable")/100,Settings!$B$11/100)))</f>
        <v>184820.9074453674</v>
      </c>
      <c r="O47" s="15">
        <f>IF(B47&gt;=59.5,MIN(M47-N47,J46*(1+IFERROR(AVERAGEIFS(Assets!$D$3:$D$51,Assets!$G$3:$G$51,"Pre-Tax")/100,Settings!$B$11/100))),0)</f>
        <v>0</v>
      </c>
      <c r="P47" s="15">
        <f>MIN(M47-N47-O47,K46*(1+IFERROR(AVERAGEIFS(Assets!$D$3:$D$51,Assets!$G$3:$G$51,"Tax-Free")/100,Settings!$B$11/100)))</f>
        <v>0</v>
      </c>
      <c r="Q47" s="15">
        <f t="shared" si="11"/>
        <v>0</v>
      </c>
      <c r="R47" s="15">
        <f>L47+SUMIF(Assets!$H$3:$H$51,"Real Estate",Assets!$C$3:$C$51)-SUM(Liabilities!$D$3:$D$52)</f>
        <v>5793220.0280039664</v>
      </c>
      <c r="S47" s="15">
        <f>F47/(Settings!$B$10/100)</f>
        <v>4620522.6861341847</v>
      </c>
      <c r="T47" s="15">
        <f>S47/((1+Settings!$B$11/100)^MAX(0,Settings!$B$5-B47))</f>
        <v>4620522.6861341847</v>
      </c>
      <c r="U47" t="str">
        <f t="shared" si="12"/>
        <v>🔥 FI Reached</v>
      </c>
      <c r="V47" s="1">
        <f t="shared" si="13"/>
        <v>0</v>
      </c>
    </row>
    <row r="48" spans="1:22" x14ac:dyDescent="0.35">
      <c r="A48">
        <v>2069</v>
      </c>
      <c r="B48">
        <f t="shared" si="14"/>
        <v>83</v>
      </c>
      <c r="C48" s="15">
        <f>SUMPRODUCT((Income!$E$3:$E$49&lt;=A48)*(Income!$F$3:$F$49&gt;=A48)*(Income!$C$3:$C$49)*(1+Income!$D$3:$D$49/100)^(A48-Income!$E$3:$E$49))</f>
        <v>0</v>
      </c>
      <c r="D48" s="15">
        <f>C48*(Settings!$B$7/100)</f>
        <v>0</v>
      </c>
      <c r="E48" s="15">
        <f t="shared" si="8"/>
        <v>0</v>
      </c>
      <c r="F48" s="15">
        <f>IF('Simple Budget'!$B$2="Yes",SUMPRODUCT(('Simple Budget'!$E$4:$E$50&lt;=A48)*('Simple Budget'!$F$4:$F$50&gt;=A48)*('Simple Budget'!$B$4:$B$50)*(1+'Simple Budget'!$C$4:$C$50/100)^(A48-'Simple Budget'!$E$4:$E$50)),SUMPRODUCT(('Detailed Budget'!$E$3:$E$105&lt;=A48)*('Detailed Budget'!$F$3:$F$105&gt;=A48)*('Detailed Budget'!$C$3:$C$105)*12*(1+Settings!$B$9/100)^(A48-2024)))</f>
        <v>190365.53466872848</v>
      </c>
      <c r="G48" s="23">
        <v>0</v>
      </c>
      <c r="H48" s="15">
        <f t="shared" si="7"/>
        <v>-190365.53466872848</v>
      </c>
      <c r="I48" s="15">
        <f>I47*(1+IFERROR(AVERAGEIFS(Assets!$D$3:$D$51,Assets!$G$3:$G$51,"Taxable")/100,Settings!$B$11/100))+MAX(0,H48)-N48</f>
        <v>714811.04973835626</v>
      </c>
      <c r="J48" s="15">
        <f>J47*(1+IFERROR(AVERAGEIFS(Assets!$D$3:$D$51,Assets!$G$3:$G$51,"Pre-Tax")/100,Settings!$B$11/100))-O48</f>
        <v>4200490.3517347891</v>
      </c>
      <c r="K48" s="15">
        <f>K47*(1+IFERROR(AVERAGEIFS(Assets!$D$3:$D$51,Assets!$G$3:$G$51,"Tax-Free")/100,Settings!$B$11/100))-P48</f>
        <v>1314264.5283288152</v>
      </c>
      <c r="L48" s="15">
        <f t="shared" si="9"/>
        <v>6229565.9298019605</v>
      </c>
      <c r="M48" s="15">
        <f t="shared" si="10"/>
        <v>190365.53466872848</v>
      </c>
      <c r="N48" s="15">
        <f>MIN(M48,I47*(1+IFERROR(AVERAGEIFS(Assets!$D$3:$D$51,Assets!$G$3:$G$51,"Taxable")/100,Settings!$B$11/100)))</f>
        <v>190365.53466872848</v>
      </c>
      <c r="O48" s="15">
        <f>IF(B48&gt;=59.5,MIN(M48-N48,J47*(1+IFERROR(AVERAGEIFS(Assets!$D$3:$D$51,Assets!$G$3:$G$51,"Pre-Tax")/100,Settings!$B$11/100))),0)</f>
        <v>0</v>
      </c>
      <c r="P48" s="15">
        <f>MIN(M48-N48-O48,K47*(1+IFERROR(AVERAGEIFS(Assets!$D$3:$D$51,Assets!$G$3:$G$51,"Tax-Free")/100,Settings!$B$11/100)))</f>
        <v>0</v>
      </c>
      <c r="Q48" s="15">
        <f t="shared" si="11"/>
        <v>0</v>
      </c>
      <c r="R48" s="15">
        <f>L48+SUMIF(Assets!$H$3:$H$51,"Real Estate",Assets!$C$3:$C$51)-SUM(Liabilities!$D$3:$D$52)</f>
        <v>5954565.9298019605</v>
      </c>
      <c r="S48" s="15">
        <f>F48/(Settings!$B$10/100)</f>
        <v>4759138.3667182121</v>
      </c>
      <c r="T48" s="15">
        <f>S48/((1+Settings!$B$11/100)^MAX(0,Settings!$B$5-B48))</f>
        <v>4759138.3667182121</v>
      </c>
      <c r="U48" t="str">
        <f t="shared" si="12"/>
        <v>🔥 FI Reached</v>
      </c>
      <c r="V48" s="1">
        <f t="shared" si="13"/>
        <v>0</v>
      </c>
    </row>
    <row r="49" spans="1:22" x14ac:dyDescent="0.35">
      <c r="A49">
        <v>2070</v>
      </c>
      <c r="B49">
        <f t="shared" si="14"/>
        <v>84</v>
      </c>
      <c r="C49" s="15">
        <f>SUMPRODUCT((Income!$E$3:$E$49&lt;=A49)*(Income!$F$3:$F$49&gt;=A49)*(Income!$C$3:$C$49)*(1+Income!$D$3:$D$49/100)^(A49-Income!$E$3:$E$49))</f>
        <v>0</v>
      </c>
      <c r="D49" s="15">
        <f>C49*(Settings!$B$7/100)</f>
        <v>0</v>
      </c>
      <c r="E49" s="15">
        <f t="shared" si="8"/>
        <v>0</v>
      </c>
      <c r="F49" s="15">
        <f>IF('Simple Budget'!$B$2="Yes",SUMPRODUCT(('Simple Budget'!$E$4:$E$50&lt;=A49)*('Simple Budget'!$F$4:$F$50&gt;=A49)*('Simple Budget'!$B$4:$B$50)*(1+'Simple Budget'!$C$4:$C$50/100)^(A49-'Simple Budget'!$E$4:$E$50)),SUMPRODUCT(('Detailed Budget'!$E$3:$E$105&lt;=A49)*('Detailed Budget'!$F$3:$F$105&gt;=A49)*('Detailed Budget'!$C$3:$C$105)*12*(1+Settings!$B$9/100)^(A49-2024)))</f>
        <v>196076.50070879032</v>
      </c>
      <c r="G49" s="23">
        <v>0</v>
      </c>
      <c r="H49" s="15">
        <f t="shared" si="7"/>
        <v>-196076.50070879032</v>
      </c>
      <c r="I49" s="15">
        <f>I48*(1+IFERROR(AVERAGEIFS(Assets!$D$3:$D$51,Assets!$G$3:$G$51,"Taxable")/100,Settings!$B$11/100))+MAX(0,H49)-N49</f>
        <v>540178.88052171655</v>
      </c>
      <c r="J49" s="15">
        <f>J48*(1+IFERROR(AVERAGEIFS(Assets!$D$3:$D$51,Assets!$G$3:$G$51,"Pre-Tax")/100,Settings!$B$11/100))-O49</f>
        <v>4494524.6763562243</v>
      </c>
      <c r="K49" s="15">
        <f>K48*(1+IFERROR(AVERAGEIFS(Assets!$D$3:$D$51,Assets!$G$3:$G$51,"Tax-Free")/100,Settings!$B$11/100))-P49</f>
        <v>1366835.1094619678</v>
      </c>
      <c r="L49" s="15">
        <f t="shared" si="9"/>
        <v>6401538.6663399087</v>
      </c>
      <c r="M49" s="15">
        <f t="shared" si="10"/>
        <v>196076.50070879032</v>
      </c>
      <c r="N49" s="15">
        <f>MIN(M49,I48*(1+IFERROR(AVERAGEIFS(Assets!$D$3:$D$51,Assets!$G$3:$G$51,"Taxable")/100,Settings!$B$11/100)))</f>
        <v>196076.50070879032</v>
      </c>
      <c r="O49" s="15">
        <f>IF(B49&gt;=59.5,MIN(M49-N49,J48*(1+IFERROR(AVERAGEIFS(Assets!$D$3:$D$51,Assets!$G$3:$G$51,"Pre-Tax")/100,Settings!$B$11/100))),0)</f>
        <v>0</v>
      </c>
      <c r="P49" s="15">
        <f>MIN(M49-N49-O49,K48*(1+IFERROR(AVERAGEIFS(Assets!$D$3:$D$51,Assets!$G$3:$G$51,"Tax-Free")/100,Settings!$B$11/100)))</f>
        <v>0</v>
      </c>
      <c r="Q49" s="15">
        <f t="shared" si="11"/>
        <v>0</v>
      </c>
      <c r="R49" s="15">
        <f>L49+SUMIF(Assets!$H$3:$H$51,"Real Estate",Assets!$C$3:$C$51)-SUM(Liabilities!$D$3:$D$52)</f>
        <v>6126538.6663399087</v>
      </c>
      <c r="S49" s="15">
        <f>F49/(Settings!$B$10/100)</f>
        <v>4901912.5177197577</v>
      </c>
      <c r="T49" s="15">
        <f>S49/((1+Settings!$B$11/100)^MAX(0,Settings!$B$5-B49))</f>
        <v>4901912.5177197577</v>
      </c>
      <c r="U49" t="str">
        <f t="shared" si="12"/>
        <v>🔥 FI Reached</v>
      </c>
      <c r="V49" s="1">
        <f t="shared" si="13"/>
        <v>0</v>
      </c>
    </row>
    <row r="50" spans="1:22" x14ac:dyDescent="0.35">
      <c r="A50">
        <v>2071</v>
      </c>
      <c r="B50">
        <f t="shared" si="14"/>
        <v>85</v>
      </c>
      <c r="C50" s="15">
        <f>SUMPRODUCT((Income!$E$3:$E$49&lt;=A50)*(Income!$F$3:$F$49&gt;=A50)*(Income!$C$3:$C$49)*(1+Income!$D$3:$D$49/100)^(A50-Income!$E$3:$E$49))</f>
        <v>0</v>
      </c>
      <c r="D50" s="15">
        <f>C50*(Settings!$B$7/100)</f>
        <v>0</v>
      </c>
      <c r="E50" s="15">
        <f t="shared" si="8"/>
        <v>0</v>
      </c>
      <c r="F50" s="15">
        <f>IF('Simple Budget'!$B$2="Yes",SUMPRODUCT(('Simple Budget'!$E$4:$E$50&lt;=A50)*('Simple Budget'!$F$4:$F$50&gt;=A50)*('Simple Budget'!$B$4:$B$50)*(1+'Simple Budget'!$C$4:$C$50/100)^(A50-'Simple Budget'!$E$4:$E$50)),SUMPRODUCT(('Detailed Budget'!$E$3:$E$105&lt;=A50)*('Detailed Budget'!$F$3:$F$105&gt;=A50)*('Detailed Budget'!$C$3:$C$105)*12*(1+Settings!$B$9/100)^(A50-2024)))</f>
        <v>201958.79573005403</v>
      </c>
      <c r="G50" s="23">
        <v>0</v>
      </c>
      <c r="H50" s="15">
        <f t="shared" si="7"/>
        <v>-201958.79573005403</v>
      </c>
      <c r="I50" s="15">
        <f>I49*(1+IFERROR(AVERAGEIFS(Assets!$D$3:$D$51,Assets!$G$3:$G$51,"Taxable")/100,Settings!$B$11/100))+MAX(0,H50)-N50</f>
        <v>354425.45120731404</v>
      </c>
      <c r="J50" s="15">
        <f>J49*(1+IFERROR(AVERAGEIFS(Assets!$D$3:$D$51,Assets!$G$3:$G$51,"Pre-Tax")/100,Settings!$B$11/100))-O50</f>
        <v>4809141.4037011601</v>
      </c>
      <c r="K50" s="15">
        <f>K49*(1+IFERROR(AVERAGEIFS(Assets!$D$3:$D$51,Assets!$G$3:$G$51,"Tax-Free")/100,Settings!$B$11/100))-P50</f>
        <v>1421508.5138404465</v>
      </c>
      <c r="L50" s="15">
        <f t="shared" si="9"/>
        <v>6585075.36874892</v>
      </c>
      <c r="M50" s="15">
        <f t="shared" si="10"/>
        <v>201958.79573005403</v>
      </c>
      <c r="N50" s="15">
        <f>MIN(M50,I49*(1+IFERROR(AVERAGEIFS(Assets!$D$3:$D$51,Assets!$G$3:$G$51,"Taxable")/100,Settings!$B$11/100)))</f>
        <v>201958.79573005403</v>
      </c>
      <c r="O50" s="15">
        <f>IF(B50&gt;=59.5,MIN(M50-N50,J49*(1+IFERROR(AVERAGEIFS(Assets!$D$3:$D$51,Assets!$G$3:$G$51,"Pre-Tax")/100,Settings!$B$11/100))),0)</f>
        <v>0</v>
      </c>
      <c r="P50" s="15">
        <f>MIN(M50-N50-O50,K49*(1+IFERROR(AVERAGEIFS(Assets!$D$3:$D$51,Assets!$G$3:$G$51,"Tax-Free")/100,Settings!$B$11/100)))</f>
        <v>0</v>
      </c>
      <c r="Q50" s="15">
        <f t="shared" si="11"/>
        <v>0</v>
      </c>
      <c r="R50" s="15">
        <f>L50+SUMIF(Assets!$H$3:$H$51,"Real Estate",Assets!$C$3:$C$51)-SUM(Liabilities!$D$3:$D$52)</f>
        <v>6310075.36874892</v>
      </c>
      <c r="S50" s="15">
        <f>F50/(Settings!$B$10/100)</f>
        <v>5048969.8932513511</v>
      </c>
      <c r="T50" s="15">
        <f>S50/((1+Settings!$B$11/100)^MAX(0,Settings!$B$5-B50))</f>
        <v>5048969.8932513511</v>
      </c>
      <c r="U50" t="str">
        <f t="shared" si="12"/>
        <v>🔥 FI Reached</v>
      </c>
      <c r="V50" s="1">
        <f t="shared" si="13"/>
        <v>0</v>
      </c>
    </row>
    <row r="51" spans="1:22" x14ac:dyDescent="0.35">
      <c r="A51">
        <v>2072</v>
      </c>
      <c r="B51">
        <f t="shared" si="14"/>
        <v>86</v>
      </c>
      <c r="C51" s="15">
        <f>SUMPRODUCT((Income!$E$3:$E$49&lt;=A51)*(Income!$F$3:$F$49&gt;=A51)*(Income!$C$3:$C$49)*(1+Income!$D$3:$D$49/100)^(A51-Income!$E$3:$E$49))</f>
        <v>0</v>
      </c>
      <c r="D51" s="15">
        <f>C51*(Settings!$B$7/100)</f>
        <v>0</v>
      </c>
      <c r="E51" s="15">
        <f t="shared" si="8"/>
        <v>0</v>
      </c>
      <c r="F51" s="15">
        <f>IF('Simple Budget'!$B$2="Yes",SUMPRODUCT(('Simple Budget'!$E$4:$E$50&lt;=A51)*('Simple Budget'!$F$4:$F$50&gt;=A51)*('Simple Budget'!$B$4:$B$50)*(1+'Simple Budget'!$C$4:$C$50/100)^(A51-'Simple Budget'!$E$4:$E$50)),SUMPRODUCT(('Detailed Budget'!$E$3:$E$105&lt;=A51)*('Detailed Budget'!$F$3:$F$105&gt;=A51)*('Detailed Budget'!$C$3:$C$105)*12*(1+Settings!$B$9/100)^(A51-2024)))</f>
        <v>208017.55960195567</v>
      </c>
      <c r="G51" s="23">
        <v>0</v>
      </c>
      <c r="H51" s="15">
        <f t="shared" si="7"/>
        <v>-208017.55960195567</v>
      </c>
      <c r="I51" s="15">
        <f>I50*(1+IFERROR(AVERAGEIFS(Assets!$D$3:$D$51,Assets!$G$3:$G$51,"Taxable")/100,Settings!$B$11/100))+MAX(0,H51)-N51</f>
        <v>157040.65514157779</v>
      </c>
      <c r="J51" s="15">
        <f>J50*(1+IFERROR(AVERAGEIFS(Assets!$D$3:$D$51,Assets!$G$3:$G$51,"Pre-Tax")/100,Settings!$B$11/100))-O51</f>
        <v>5145781.301960242</v>
      </c>
      <c r="K51" s="15">
        <f>K50*(1+IFERROR(AVERAGEIFS(Assets!$D$3:$D$51,Assets!$G$3:$G$51,"Tax-Free")/100,Settings!$B$11/100))-P51</f>
        <v>1478368.8543940643</v>
      </c>
      <c r="L51" s="15">
        <f t="shared" si="9"/>
        <v>6781190.8114958843</v>
      </c>
      <c r="M51" s="15">
        <f t="shared" si="10"/>
        <v>208017.55960195567</v>
      </c>
      <c r="N51" s="15">
        <f>MIN(M51,I50*(1+IFERROR(AVERAGEIFS(Assets!$D$3:$D$51,Assets!$G$3:$G$51,"Taxable")/100,Settings!$B$11/100)))</f>
        <v>208017.55960195567</v>
      </c>
      <c r="O51" s="15">
        <f>IF(B51&gt;=59.5,MIN(M51-N51,J50*(1+IFERROR(AVERAGEIFS(Assets!$D$3:$D$51,Assets!$G$3:$G$51,"Pre-Tax")/100,Settings!$B$11/100))),0)</f>
        <v>0</v>
      </c>
      <c r="P51" s="15">
        <f>MIN(M51-N51-O51,K50*(1+IFERROR(AVERAGEIFS(Assets!$D$3:$D$51,Assets!$G$3:$G$51,"Tax-Free")/100,Settings!$B$11/100)))</f>
        <v>0</v>
      </c>
      <c r="Q51" s="15">
        <f t="shared" si="11"/>
        <v>0</v>
      </c>
      <c r="R51" s="15">
        <f>L51+SUMIF(Assets!$H$3:$H$51,"Real Estate",Assets!$C$3:$C$51)-SUM(Liabilities!$D$3:$D$52)</f>
        <v>6506190.8114958843</v>
      </c>
      <c r="S51" s="15">
        <f>F51/(Settings!$B$10/100)</f>
        <v>5200438.9900488919</v>
      </c>
      <c r="T51" s="15">
        <f>S51/((1+Settings!$B$11/100)^MAX(0,Settings!$B$5-B51))</f>
        <v>5200438.9900488919</v>
      </c>
      <c r="U51" t="str">
        <f t="shared" si="12"/>
        <v>🔥 FI Reached</v>
      </c>
      <c r="V51" s="1">
        <f t="shared" si="13"/>
        <v>0</v>
      </c>
    </row>
    <row r="52" spans="1:22" x14ac:dyDescent="0.35">
      <c r="A52">
        <v>2073</v>
      </c>
      <c r="B52">
        <f t="shared" si="14"/>
        <v>87</v>
      </c>
      <c r="C52" s="15">
        <f>SUMPRODUCT((Income!$E$3:$E$49&lt;=A52)*(Income!$F$3:$F$49&gt;=A52)*(Income!$C$3:$C$49)*(1+Income!$D$3:$D$49/100)^(A52-Income!$E$3:$E$49))</f>
        <v>0</v>
      </c>
      <c r="D52" s="15">
        <f>C52*(Settings!$B$7/100)</f>
        <v>0</v>
      </c>
      <c r="E52" s="15">
        <f t="shared" si="8"/>
        <v>0</v>
      </c>
      <c r="F52" s="15">
        <f>IF('Simple Budget'!$B$2="Yes",SUMPRODUCT(('Simple Budget'!$E$4:$E$50&lt;=A52)*('Simple Budget'!$F$4:$F$50&gt;=A52)*('Simple Budget'!$B$4:$B$50)*(1+'Simple Budget'!$C$4:$C$50/100)^(A52-'Simple Budget'!$E$4:$E$50)),SUMPRODUCT(('Detailed Budget'!$E$3:$E$105&lt;=A52)*('Detailed Budget'!$F$3:$F$105&gt;=A52)*('Detailed Budget'!$C$3:$C$105)*12*(1+Settings!$B$9/100)^(A52-2024)))</f>
        <v>214258.0863900143</v>
      </c>
      <c r="G52" s="23">
        <v>0</v>
      </c>
      <c r="H52" s="15">
        <f t="shared" si="7"/>
        <v>-214258.0863900143</v>
      </c>
      <c r="I52" s="15">
        <f>I51*(1+IFERROR(AVERAGEIFS(Assets!$D$3:$D$51,Assets!$G$3:$G$51,"Taxable")/100,Settings!$B$11/100))+MAX(0,H52)-N52</f>
        <v>0</v>
      </c>
      <c r="J52" s="15">
        <f>J51*(1+IFERROR(AVERAGEIFS(Assets!$D$3:$D$51,Assets!$G$3:$G$51,"Pre-Tax")/100,Settings!$B$11/100))-O52</f>
        <v>5453479.7815032694</v>
      </c>
      <c r="K52" s="15">
        <f>K51*(1+IFERROR(AVERAGEIFS(Assets!$D$3:$D$51,Assets!$G$3:$G$51,"Tax-Free")/100,Settings!$B$11/100))-P52</f>
        <v>1537503.6085698269</v>
      </c>
      <c r="L52" s="15">
        <f t="shared" si="9"/>
        <v>6990983.3900730964</v>
      </c>
      <c r="M52" s="15">
        <f t="shared" si="10"/>
        <v>214258.0863900143</v>
      </c>
      <c r="N52" s="15">
        <f>MIN(M52,I51*(1+IFERROR(AVERAGEIFS(Assets!$D$3:$D$51,Assets!$G$3:$G$51,"Taxable")/100,Settings!$B$11/100)))</f>
        <v>161751.87479582513</v>
      </c>
      <c r="O52" s="15">
        <f>IF(B52&gt;=59.5,MIN(M52-N52,J51*(1+IFERROR(AVERAGEIFS(Assets!$D$3:$D$51,Assets!$G$3:$G$51,"Pre-Tax")/100,Settings!$B$11/100))),0)</f>
        <v>52506.211594189168</v>
      </c>
      <c r="P52" s="15">
        <f>MIN(M52-N52-O52,K51*(1+IFERROR(AVERAGEIFS(Assets!$D$3:$D$51,Assets!$G$3:$G$51,"Tax-Free")/100,Settings!$B$11/100)))</f>
        <v>0</v>
      </c>
      <c r="Q52" s="15">
        <f t="shared" si="11"/>
        <v>0</v>
      </c>
      <c r="R52" s="15">
        <f>L52+SUMIF(Assets!$H$3:$H$51,"Real Estate",Assets!$C$3:$C$51)-SUM(Liabilities!$D$3:$D$52)</f>
        <v>6715983.3900730964</v>
      </c>
      <c r="S52" s="15">
        <f>F52/(Settings!$B$10/100)</f>
        <v>5356452.1597503573</v>
      </c>
      <c r="T52" s="15">
        <f>S52/((1+Settings!$B$11/100)^MAX(0,Settings!$B$5-B52))</f>
        <v>5356452.1597503573</v>
      </c>
      <c r="U52" t="str">
        <f t="shared" si="12"/>
        <v>🔥 FI Reached</v>
      </c>
      <c r="V52" s="1">
        <f t="shared" si="13"/>
        <v>0</v>
      </c>
    </row>
    <row r="53" spans="1:22" x14ac:dyDescent="0.35">
      <c r="A53">
        <v>2074</v>
      </c>
      <c r="B53">
        <f t="shared" si="14"/>
        <v>88</v>
      </c>
      <c r="C53" s="15">
        <f>SUMPRODUCT((Income!$E$3:$E$49&lt;=A53)*(Income!$F$3:$F$49&gt;=A53)*(Income!$C$3:$C$49)*(1+Income!$D$3:$D$49/100)^(A53-Income!$E$3:$E$49))</f>
        <v>0</v>
      </c>
      <c r="D53" s="15">
        <f>C53*(Settings!$B$7/100)</f>
        <v>0</v>
      </c>
      <c r="E53" s="15">
        <f t="shared" si="8"/>
        <v>0</v>
      </c>
      <c r="F53" s="15">
        <f>IF('Simple Budget'!$B$2="Yes",SUMPRODUCT(('Simple Budget'!$E$4:$E$50&lt;=A53)*('Simple Budget'!$F$4:$F$50&gt;=A53)*('Simple Budget'!$B$4:$B$50)*(1+'Simple Budget'!$C$4:$C$50/100)^(A53-'Simple Budget'!$E$4:$E$50)),SUMPRODUCT(('Detailed Budget'!$E$3:$E$105&lt;=A53)*('Detailed Budget'!$F$3:$F$105&gt;=A53)*('Detailed Budget'!$C$3:$C$105)*12*(1+Settings!$B$9/100)^(A53-2024)))</f>
        <v>220685.82898171476</v>
      </c>
      <c r="G53" s="23">
        <v>0</v>
      </c>
      <c r="H53" s="15">
        <f t="shared" si="7"/>
        <v>-220685.82898171476</v>
      </c>
      <c r="I53" s="15">
        <f>I52*(1+IFERROR(AVERAGEIFS(Assets!$D$3:$D$51,Assets!$G$3:$G$51,"Taxable")/100,Settings!$B$11/100))+MAX(0,H53)-N53</f>
        <v>0</v>
      </c>
      <c r="J53" s="15">
        <f>J52*(1+IFERROR(AVERAGEIFS(Assets!$D$3:$D$51,Assets!$G$3:$G$51,"Pre-Tax")/100,Settings!$B$11/100))-O53</f>
        <v>5614537.537226784</v>
      </c>
      <c r="K53" s="15">
        <f>K52*(1+IFERROR(AVERAGEIFS(Assets!$D$3:$D$51,Assets!$G$3:$G$51,"Tax-Free")/100,Settings!$B$11/100))-P53</f>
        <v>1599003.7529126201</v>
      </c>
      <c r="L53" s="15">
        <f t="shared" si="9"/>
        <v>7213541.2901394041</v>
      </c>
      <c r="M53" s="15">
        <f t="shared" si="10"/>
        <v>220685.82898171476</v>
      </c>
      <c r="N53" s="15">
        <f>MIN(M53,I52*(1+IFERROR(AVERAGEIFS(Assets!$D$3:$D$51,Assets!$G$3:$G$51,"Taxable")/100,Settings!$B$11/100)))</f>
        <v>0</v>
      </c>
      <c r="O53" s="15">
        <f>IF(B53&gt;=59.5,MIN(M53-N53,J52*(1+IFERROR(AVERAGEIFS(Assets!$D$3:$D$51,Assets!$G$3:$G$51,"Pre-Tax")/100,Settings!$B$11/100))),0)</f>
        <v>220685.82898171476</v>
      </c>
      <c r="P53" s="15">
        <f>MIN(M53-N53-O53,K52*(1+IFERROR(AVERAGEIFS(Assets!$D$3:$D$51,Assets!$G$3:$G$51,"Tax-Free")/100,Settings!$B$11/100)))</f>
        <v>0</v>
      </c>
      <c r="Q53" s="15">
        <f t="shared" si="11"/>
        <v>0</v>
      </c>
      <c r="R53" s="15">
        <f>L53+SUMIF(Assets!$H$3:$H$51,"Real Estate",Assets!$C$3:$C$51)-SUM(Liabilities!$D$3:$D$52)</f>
        <v>6938541.2901394041</v>
      </c>
      <c r="S53" s="15">
        <f>F53/(Settings!$B$10/100)</f>
        <v>5517145.7245428693</v>
      </c>
      <c r="T53" s="15">
        <f>S53/((1+Settings!$B$11/100)^MAX(0,Settings!$B$5-B53))</f>
        <v>5517145.7245428693</v>
      </c>
      <c r="U53" t="str">
        <f t="shared" si="12"/>
        <v>🔥 FI Reached</v>
      </c>
      <c r="V53" s="1">
        <f t="shared" si="13"/>
        <v>0</v>
      </c>
    </row>
    <row r="54" spans="1:22" x14ac:dyDescent="0.35">
      <c r="A54">
        <v>2075</v>
      </c>
      <c r="B54">
        <f t="shared" si="14"/>
        <v>89</v>
      </c>
      <c r="C54" s="15">
        <f>SUMPRODUCT((Income!$E$3:$E$49&lt;=A54)*(Income!$F$3:$F$49&gt;=A54)*(Income!$C$3:$C$49)*(1+Income!$D$3:$D$49/100)^(A54-Income!$E$3:$E$49))</f>
        <v>0</v>
      </c>
      <c r="D54" s="15">
        <f>C54*(Settings!$B$7/100)</f>
        <v>0</v>
      </c>
      <c r="E54" s="15">
        <f t="shared" si="8"/>
        <v>0</v>
      </c>
      <c r="F54" s="15">
        <f>IF('Simple Budget'!$B$2="Yes",SUMPRODUCT(('Simple Budget'!$E$4:$E$50&lt;=A54)*('Simple Budget'!$F$4:$F$50&gt;=A54)*('Simple Budget'!$B$4:$B$50)*(1+'Simple Budget'!$C$4:$C$50/100)^(A54-'Simple Budget'!$E$4:$E$50)),SUMPRODUCT(('Detailed Budget'!$E$3:$E$105&lt;=A54)*('Detailed Budget'!$F$3:$F$105&gt;=A54)*('Detailed Budget'!$C$3:$C$105)*12*(1+Settings!$B$9/100)^(A54-2024)))</f>
        <v>227306.40385116619</v>
      </c>
      <c r="G54" s="23">
        <v>0</v>
      </c>
      <c r="H54" s="15">
        <f t="shared" si="7"/>
        <v>-227306.40385116619</v>
      </c>
      <c r="I54" s="15">
        <f>I53*(1+IFERROR(AVERAGEIFS(Assets!$D$3:$D$51,Assets!$G$3:$G$51,"Taxable")/100,Settings!$B$11/100))+MAX(0,H54)-N54</f>
        <v>0</v>
      </c>
      <c r="J54" s="15">
        <f>J53*(1+IFERROR(AVERAGEIFS(Assets!$D$3:$D$51,Assets!$G$3:$G$51,"Pre-Tax")/100,Settings!$B$11/100))-O54</f>
        <v>5780248.7609814927</v>
      </c>
      <c r="K54" s="15">
        <f>K53*(1+IFERROR(AVERAGEIFS(Assets!$D$3:$D$51,Assets!$G$3:$G$51,"Tax-Free")/100,Settings!$B$11/100))-P54</f>
        <v>1662963.903029125</v>
      </c>
      <c r="L54" s="15">
        <f t="shared" si="9"/>
        <v>7443212.6640106179</v>
      </c>
      <c r="M54" s="15">
        <f t="shared" si="10"/>
        <v>227306.40385116619</v>
      </c>
      <c r="N54" s="15">
        <f>MIN(M54,I53*(1+IFERROR(AVERAGEIFS(Assets!$D$3:$D$51,Assets!$G$3:$G$51,"Taxable")/100,Settings!$B$11/100)))</f>
        <v>0</v>
      </c>
      <c r="O54" s="15">
        <f>IF(B54&gt;=59.5,MIN(M54-N54,J53*(1+IFERROR(AVERAGEIFS(Assets!$D$3:$D$51,Assets!$G$3:$G$51,"Pre-Tax")/100,Settings!$B$11/100))),0)</f>
        <v>227306.40385116619</v>
      </c>
      <c r="P54" s="15">
        <f>MIN(M54-N54-O54,K53*(1+IFERROR(AVERAGEIFS(Assets!$D$3:$D$51,Assets!$G$3:$G$51,"Tax-Free")/100,Settings!$B$11/100)))</f>
        <v>0</v>
      </c>
      <c r="Q54" s="15">
        <f t="shared" si="11"/>
        <v>0</v>
      </c>
      <c r="R54" s="15">
        <f>L54+SUMIF(Assets!$H$3:$H$51,"Real Estate",Assets!$C$3:$C$51)-SUM(Liabilities!$D$3:$D$52)</f>
        <v>7168212.6640106179</v>
      </c>
      <c r="S54" s="15">
        <f>F54/(Settings!$B$10/100)</f>
        <v>5682660.0962791545</v>
      </c>
      <c r="T54" s="15">
        <f>S54/((1+Settings!$B$11/100)^MAX(0,Settings!$B$5-B54))</f>
        <v>5682660.0962791545</v>
      </c>
      <c r="U54" t="str">
        <f t="shared" si="12"/>
        <v>🔥 FI Reached</v>
      </c>
      <c r="V54" s="1">
        <f t="shared" si="13"/>
        <v>0</v>
      </c>
    </row>
    <row r="55" spans="1:22" x14ac:dyDescent="0.35">
      <c r="A55">
        <v>2076</v>
      </c>
      <c r="B55">
        <f t="shared" si="14"/>
        <v>90</v>
      </c>
      <c r="C55" s="15">
        <f>SUMPRODUCT((Income!$E$3:$E$49&lt;=A55)*(Income!$F$3:$F$49&gt;=A55)*(Income!$C$3:$C$49)*(1+Income!$D$3:$D$49/100)^(A55-Income!$E$3:$E$49))</f>
        <v>0</v>
      </c>
      <c r="D55" s="15">
        <f>C55*(Settings!$B$7/100)</f>
        <v>0</v>
      </c>
      <c r="E55" s="15">
        <f t="shared" si="8"/>
        <v>0</v>
      </c>
      <c r="F55" s="15">
        <f>IF('Simple Budget'!$B$2="Yes",SUMPRODUCT(('Simple Budget'!$E$4:$E$50&lt;=A55)*('Simple Budget'!$F$4:$F$50&gt;=A55)*('Simple Budget'!$B$4:$B$50)*(1+'Simple Budget'!$C$4:$C$50/100)^(A55-'Simple Budget'!$E$4:$E$50)),SUMPRODUCT(('Detailed Budget'!$E$3:$E$105&lt;=A55)*('Detailed Budget'!$F$3:$F$105&gt;=A55)*('Detailed Budget'!$C$3:$C$105)*12*(1+Settings!$B$9/100)^(A55-2024)))</f>
        <v>234125.59596670119</v>
      </c>
      <c r="G55" s="23">
        <v>0</v>
      </c>
      <c r="H55" s="15">
        <f t="shared" si="7"/>
        <v>-234125.59596670119</v>
      </c>
      <c r="I55" s="15">
        <f>I54*(1+IFERROR(AVERAGEIFS(Assets!$D$3:$D$51,Assets!$G$3:$G$51,"Taxable")/100,Settings!$B$11/100))+MAX(0,H55)-N55</f>
        <v>0</v>
      </c>
      <c r="J55" s="15">
        <f>J54*(1+IFERROR(AVERAGEIFS(Assets!$D$3:$D$51,Assets!$G$3:$G$51,"Pre-Tax")/100,Settings!$B$11/100))-O55</f>
        <v>5950740.5782834962</v>
      </c>
      <c r="K55" s="15">
        <f>K54*(1+IFERROR(AVERAGEIFS(Assets!$D$3:$D$51,Assets!$G$3:$G$51,"Tax-Free")/100,Settings!$B$11/100))-P55</f>
        <v>1729482.4591502901</v>
      </c>
      <c r="L55" s="15">
        <f t="shared" si="9"/>
        <v>7680223.0374337863</v>
      </c>
      <c r="M55" s="15">
        <f t="shared" si="10"/>
        <v>234125.59596670119</v>
      </c>
      <c r="N55" s="15">
        <f>MIN(M55,I54*(1+IFERROR(AVERAGEIFS(Assets!$D$3:$D$51,Assets!$G$3:$G$51,"Taxable")/100,Settings!$B$11/100)))</f>
        <v>0</v>
      </c>
      <c r="O55" s="15">
        <f>IF(B55&gt;=59.5,MIN(M55-N55,J54*(1+IFERROR(AVERAGEIFS(Assets!$D$3:$D$51,Assets!$G$3:$G$51,"Pre-Tax")/100,Settings!$B$11/100))),0)</f>
        <v>234125.59596670119</v>
      </c>
      <c r="P55" s="15">
        <f>MIN(M55-N55-O55,K54*(1+IFERROR(AVERAGEIFS(Assets!$D$3:$D$51,Assets!$G$3:$G$51,"Tax-Free")/100,Settings!$B$11/100)))</f>
        <v>0</v>
      </c>
      <c r="Q55" s="15">
        <f t="shared" si="11"/>
        <v>0</v>
      </c>
      <c r="R55" s="15">
        <f>L55+SUMIF(Assets!$H$3:$H$51,"Real Estate",Assets!$C$3:$C$51)-SUM(Liabilities!$D$3:$D$52)</f>
        <v>7405223.0374337863</v>
      </c>
      <c r="S55" s="15">
        <f>F55/(Settings!$B$10/100)</f>
        <v>5853139.8991675293</v>
      </c>
      <c r="T55" s="15">
        <f>S55/((1+Settings!$B$11/100)^MAX(0,Settings!$B$5-B55))</f>
        <v>5853139.8991675293</v>
      </c>
      <c r="U55" t="str">
        <f t="shared" si="12"/>
        <v>🔥 FI Reached</v>
      </c>
      <c r="V55" s="1">
        <f t="shared" si="13"/>
        <v>0</v>
      </c>
    </row>
    <row r="56" spans="1:22" x14ac:dyDescent="0.35">
      <c r="A56">
        <v>2077</v>
      </c>
      <c r="B56">
        <f t="shared" si="14"/>
        <v>91</v>
      </c>
      <c r="C56" s="15">
        <f>SUMPRODUCT((Income!$E$3:$E$49&lt;=A56)*(Income!$F$3:$F$49&gt;=A56)*(Income!$C$3:$C$49)*(1+Income!$D$3:$D$49/100)^(A56-Income!$E$3:$E$49))</f>
        <v>0</v>
      </c>
      <c r="D56" s="15">
        <f>C56*(Settings!$B$7/100)</f>
        <v>0</v>
      </c>
      <c r="E56" s="15">
        <f t="shared" si="8"/>
        <v>0</v>
      </c>
      <c r="F56" s="15">
        <f>IF('Simple Budget'!$B$2="Yes",SUMPRODUCT(('Simple Budget'!$E$4:$E$50&lt;=A56)*('Simple Budget'!$F$4:$F$50&gt;=A56)*('Simple Budget'!$B$4:$B$50)*(1+'Simple Budget'!$C$4:$C$50/100)^(A56-'Simple Budget'!$E$4:$E$50)),SUMPRODUCT(('Detailed Budget'!$E$3:$E$105&lt;=A56)*('Detailed Budget'!$F$3:$F$105&gt;=A56)*('Detailed Budget'!$C$3:$C$105)*12*(1+Settings!$B$9/100)^(A56-2024)))</f>
        <v>241149.36384570214</v>
      </c>
      <c r="G56" s="23">
        <v>0</v>
      </c>
      <c r="H56" s="15">
        <f t="shared" si="7"/>
        <v>-241149.36384570214</v>
      </c>
      <c r="I56" s="15">
        <f>I55*(1+IFERROR(AVERAGEIFS(Assets!$D$3:$D$51,Assets!$G$3:$G$51,"Taxable")/100,Settings!$B$11/100))+MAX(0,H56)-N56</f>
        <v>0</v>
      </c>
      <c r="J56" s="15">
        <f>J55*(1+IFERROR(AVERAGEIFS(Assets!$D$3:$D$51,Assets!$G$3:$G$51,"Pre-Tax")/100,Settings!$B$11/100))-O56</f>
        <v>6126143.0549176391</v>
      </c>
      <c r="K56" s="15">
        <f>K55*(1+IFERROR(AVERAGEIFS(Assets!$D$3:$D$51,Assets!$G$3:$G$51,"Tax-Free")/100,Settings!$B$11/100))-P56</f>
        <v>1798661.7575163017</v>
      </c>
      <c r="L56" s="15">
        <f t="shared" si="9"/>
        <v>7924804.8124339413</v>
      </c>
      <c r="M56" s="15">
        <f t="shared" si="10"/>
        <v>241149.36384570214</v>
      </c>
      <c r="N56" s="15">
        <f>MIN(M56,I55*(1+IFERROR(AVERAGEIFS(Assets!$D$3:$D$51,Assets!$G$3:$G$51,"Taxable")/100,Settings!$B$11/100)))</f>
        <v>0</v>
      </c>
      <c r="O56" s="15">
        <f>IF(B56&gt;=59.5,MIN(M56-N56,J55*(1+IFERROR(AVERAGEIFS(Assets!$D$3:$D$51,Assets!$G$3:$G$51,"Pre-Tax")/100,Settings!$B$11/100))),0)</f>
        <v>241149.36384570214</v>
      </c>
      <c r="P56" s="15">
        <f>MIN(M56-N56-O56,K55*(1+IFERROR(AVERAGEIFS(Assets!$D$3:$D$51,Assets!$G$3:$G$51,"Tax-Free")/100,Settings!$B$11/100)))</f>
        <v>0</v>
      </c>
      <c r="Q56" s="15">
        <f t="shared" si="11"/>
        <v>0</v>
      </c>
      <c r="R56" s="15">
        <f>L56+SUMIF(Assets!$H$3:$H$51,"Real Estate",Assets!$C$3:$C$51)-SUM(Liabilities!$D$3:$D$52)</f>
        <v>7649804.8124339413</v>
      </c>
      <c r="S56" s="15">
        <f>F56/(Settings!$B$10/100)</f>
        <v>6028734.0961425537</v>
      </c>
      <c r="T56" s="15">
        <f>S56/((1+Settings!$B$11/100)^MAX(0,Settings!$B$5-B56))</f>
        <v>6028734.0961425537</v>
      </c>
      <c r="U56" t="str">
        <f t="shared" si="12"/>
        <v>🔥 FI Reached</v>
      </c>
      <c r="V56" s="1">
        <f t="shared" si="13"/>
        <v>0</v>
      </c>
    </row>
    <row r="57" spans="1:22" x14ac:dyDescent="0.35">
      <c r="A57">
        <v>2078</v>
      </c>
      <c r="B57">
        <f t="shared" si="14"/>
        <v>92</v>
      </c>
      <c r="C57" s="15">
        <f>SUMPRODUCT((Income!$E$3:$E$49&lt;=A57)*(Income!$F$3:$F$49&gt;=A57)*(Income!$C$3:$C$49)*(1+Income!$D$3:$D$49/100)^(A57-Income!$E$3:$E$49))</f>
        <v>0</v>
      </c>
      <c r="D57" s="15">
        <f>C57*(Settings!$B$7/100)</f>
        <v>0</v>
      </c>
      <c r="E57" s="15">
        <f t="shared" si="8"/>
        <v>0</v>
      </c>
      <c r="F57" s="15">
        <f>IF('Simple Budget'!$B$2="Yes",SUMPRODUCT(('Simple Budget'!$E$4:$E$50&lt;=A57)*('Simple Budget'!$F$4:$F$50&gt;=A57)*('Simple Budget'!$B$4:$B$50)*(1+'Simple Budget'!$C$4:$C$50/100)^(A57-'Simple Budget'!$E$4:$E$50)),SUMPRODUCT(('Detailed Budget'!$E$3:$E$105&lt;=A57)*('Detailed Budget'!$F$3:$F$105&gt;=A57)*('Detailed Budget'!$C$3:$C$105)*12*(1+Settings!$B$9/100)^(A57-2024)))</f>
        <v>248383.84476107324</v>
      </c>
      <c r="G57" s="23">
        <v>0</v>
      </c>
      <c r="H57" s="15">
        <f t="shared" si="7"/>
        <v>-248383.84476107324</v>
      </c>
      <c r="I57" s="15">
        <f>I56*(1+IFERROR(AVERAGEIFS(Assets!$D$3:$D$51,Assets!$G$3:$G$51,"Taxable")/100,Settings!$B$11/100))+MAX(0,H57)-N57</f>
        <v>0</v>
      </c>
      <c r="J57" s="15">
        <f>J56*(1+IFERROR(AVERAGEIFS(Assets!$D$3:$D$51,Assets!$G$3:$G$51,"Pre-Tax")/100,Settings!$B$11/100))-O57</f>
        <v>6306589.2240008004</v>
      </c>
      <c r="K57" s="15">
        <f>K56*(1+IFERROR(AVERAGEIFS(Assets!$D$3:$D$51,Assets!$G$3:$G$51,"Tax-Free")/100,Settings!$B$11/100))-P57</f>
        <v>1870608.2278169538</v>
      </c>
      <c r="L57" s="15">
        <f t="shared" si="9"/>
        <v>8177197.4518177547</v>
      </c>
      <c r="M57" s="15">
        <f t="shared" si="10"/>
        <v>248383.84476107324</v>
      </c>
      <c r="N57" s="15">
        <f>MIN(M57,I56*(1+IFERROR(AVERAGEIFS(Assets!$D$3:$D$51,Assets!$G$3:$G$51,"Taxable")/100,Settings!$B$11/100)))</f>
        <v>0</v>
      </c>
      <c r="O57" s="15">
        <f>IF(B57&gt;=59.5,MIN(M57-N57,J56*(1+IFERROR(AVERAGEIFS(Assets!$D$3:$D$51,Assets!$G$3:$G$51,"Pre-Tax")/100,Settings!$B$11/100))),0)</f>
        <v>248383.84476107324</v>
      </c>
      <c r="P57" s="15">
        <f>MIN(M57-N57-O57,K56*(1+IFERROR(AVERAGEIFS(Assets!$D$3:$D$51,Assets!$G$3:$G$51,"Tax-Free")/100,Settings!$B$11/100)))</f>
        <v>0</v>
      </c>
      <c r="Q57" s="15">
        <f t="shared" si="11"/>
        <v>0</v>
      </c>
      <c r="R57" s="15">
        <f>L57+SUMIF(Assets!$H$3:$H$51,"Real Estate",Assets!$C$3:$C$51)-SUM(Liabilities!$D$3:$D$52)</f>
        <v>7902197.4518177547</v>
      </c>
      <c r="S57" s="15">
        <f>F57/(Settings!$B$10/100)</f>
        <v>6209596.1190268304</v>
      </c>
      <c r="T57" s="15">
        <f>S57/((1+Settings!$B$11/100)^MAX(0,Settings!$B$5-B57))</f>
        <v>6209596.1190268304</v>
      </c>
      <c r="U57" t="str">
        <f t="shared" si="12"/>
        <v>🔥 FI Reached</v>
      </c>
      <c r="V57" s="1">
        <f t="shared" si="13"/>
        <v>0</v>
      </c>
    </row>
    <row r="58" spans="1:22" x14ac:dyDescent="0.35">
      <c r="A58">
        <v>2079</v>
      </c>
      <c r="B58">
        <f t="shared" si="14"/>
        <v>93</v>
      </c>
      <c r="C58" s="15">
        <f>SUMPRODUCT((Income!$E$3:$E$49&lt;=A58)*(Income!$F$3:$F$49&gt;=A58)*(Income!$C$3:$C$49)*(1+Income!$D$3:$D$49/100)^(A58-Income!$E$3:$E$49))</f>
        <v>0</v>
      </c>
      <c r="D58" s="15">
        <f>C58*(Settings!$B$7/100)</f>
        <v>0</v>
      </c>
      <c r="E58" s="15">
        <f t="shared" si="8"/>
        <v>0</v>
      </c>
      <c r="F58" s="15">
        <f>IF('Simple Budget'!$B$2="Yes",SUMPRODUCT(('Simple Budget'!$E$4:$E$50&lt;=A58)*('Simple Budget'!$F$4:$F$50&gt;=A58)*('Simple Budget'!$B$4:$B$50)*(1+'Simple Budget'!$C$4:$C$50/100)^(A58-'Simple Budget'!$E$4:$E$50)),SUMPRODUCT(('Detailed Budget'!$E$3:$E$105&lt;=A58)*('Detailed Budget'!$F$3:$F$105&gt;=A58)*('Detailed Budget'!$C$3:$C$105)*12*(1+Settings!$B$9/100)^(A58-2024)))</f>
        <v>255835.36010390549</v>
      </c>
      <c r="G58" s="23">
        <v>0</v>
      </c>
      <c r="H58" s="15">
        <f t="shared" si="7"/>
        <v>-255835.36010390549</v>
      </c>
      <c r="I58" s="15">
        <f>I57*(1+IFERROR(AVERAGEIFS(Assets!$D$3:$D$51,Assets!$G$3:$G$51,"Taxable")/100,Settings!$B$11/100))+MAX(0,H58)-N58</f>
        <v>0</v>
      </c>
      <c r="J58" s="15">
        <f>J57*(1+IFERROR(AVERAGEIFS(Assets!$D$3:$D$51,Assets!$G$3:$G$51,"Pre-Tax")/100,Settings!$B$11/100))-O58</f>
        <v>6492215.1095769517</v>
      </c>
      <c r="K58" s="15">
        <f>K57*(1+IFERROR(AVERAGEIFS(Assets!$D$3:$D$51,Assets!$G$3:$G$51,"Tax-Free")/100,Settings!$B$11/100))-P58</f>
        <v>1945432.5569296321</v>
      </c>
      <c r="L58" s="15">
        <f t="shared" si="9"/>
        <v>8437647.6665065847</v>
      </c>
      <c r="M58" s="15">
        <f t="shared" si="10"/>
        <v>255835.36010390549</v>
      </c>
      <c r="N58" s="15">
        <f>MIN(M58,I57*(1+IFERROR(AVERAGEIFS(Assets!$D$3:$D$51,Assets!$G$3:$G$51,"Taxable")/100,Settings!$B$11/100)))</f>
        <v>0</v>
      </c>
      <c r="O58" s="15">
        <f>IF(B58&gt;=59.5,MIN(M58-N58,J57*(1+IFERROR(AVERAGEIFS(Assets!$D$3:$D$51,Assets!$G$3:$G$51,"Pre-Tax")/100,Settings!$B$11/100))),0)</f>
        <v>255835.36010390549</v>
      </c>
      <c r="P58" s="15">
        <f>MIN(M58-N58-O58,K57*(1+IFERROR(AVERAGEIFS(Assets!$D$3:$D$51,Assets!$G$3:$G$51,"Tax-Free")/100,Settings!$B$11/100)))</f>
        <v>0</v>
      </c>
      <c r="Q58" s="15">
        <f t="shared" si="11"/>
        <v>0</v>
      </c>
      <c r="R58" s="15">
        <f>L58+SUMIF(Assets!$H$3:$H$51,"Real Estate",Assets!$C$3:$C$51)-SUM(Liabilities!$D$3:$D$52)</f>
        <v>8162647.6665065847</v>
      </c>
      <c r="S58" s="15">
        <f>F58/(Settings!$B$10/100)</f>
        <v>6395884.0025976375</v>
      </c>
      <c r="T58" s="15">
        <f>S58/((1+Settings!$B$11/100)^MAX(0,Settings!$B$5-B58))</f>
        <v>6395884.0025976375</v>
      </c>
      <c r="U58" t="str">
        <f t="shared" si="12"/>
        <v>🔥 FI Reached</v>
      </c>
      <c r="V58" s="1">
        <f t="shared" si="13"/>
        <v>0</v>
      </c>
    </row>
    <row r="59" spans="1:22" x14ac:dyDescent="0.35">
      <c r="A59">
        <v>2080</v>
      </c>
      <c r="B59">
        <f t="shared" si="14"/>
        <v>94</v>
      </c>
      <c r="C59" s="15">
        <f>SUMPRODUCT((Income!$E$3:$E$49&lt;=A59)*(Income!$F$3:$F$49&gt;=A59)*(Income!$C$3:$C$49)*(1+Income!$D$3:$D$49/100)^(A59-Income!$E$3:$E$49))</f>
        <v>0</v>
      </c>
      <c r="D59" s="15">
        <f>C59*(Settings!$B$7/100)</f>
        <v>0</v>
      </c>
      <c r="E59" s="15">
        <f t="shared" si="8"/>
        <v>0</v>
      </c>
      <c r="F59" s="15">
        <f>IF('Simple Budget'!$B$2="Yes",SUMPRODUCT(('Simple Budget'!$E$4:$E$50&lt;=A59)*('Simple Budget'!$F$4:$F$50&gt;=A59)*('Simple Budget'!$B$4:$B$50)*(1+'Simple Budget'!$C$4:$C$50/100)^(A59-'Simple Budget'!$E$4:$E$50)),SUMPRODUCT(('Detailed Budget'!$E$3:$E$105&lt;=A59)*('Detailed Budget'!$F$3:$F$105&gt;=A59)*('Detailed Budget'!$C$3:$C$105)*12*(1+Settings!$B$9/100)^(A59-2024)))</f>
        <v>263510.42090702249</v>
      </c>
      <c r="G59" s="23">
        <v>0</v>
      </c>
      <c r="H59" s="15">
        <f t="shared" si="7"/>
        <v>-263510.42090702249</v>
      </c>
      <c r="I59" s="15">
        <f>I58*(1+IFERROR(AVERAGEIFS(Assets!$D$3:$D$51,Assets!$G$3:$G$51,"Taxable")/100,Settings!$B$11/100))+MAX(0,H59)-N59</f>
        <v>0</v>
      </c>
      <c r="J59" s="15">
        <f>J58*(1+IFERROR(AVERAGEIFS(Assets!$D$3:$D$51,Assets!$G$3:$G$51,"Pre-Tax")/100,Settings!$B$11/100))-O59</f>
        <v>6683159.7463403167</v>
      </c>
      <c r="K59" s="15">
        <f>K58*(1+IFERROR(AVERAGEIFS(Assets!$D$3:$D$51,Assets!$G$3:$G$51,"Tax-Free")/100,Settings!$B$11/100))-P59</f>
        <v>2023249.8592068173</v>
      </c>
      <c r="L59" s="15">
        <f t="shared" si="9"/>
        <v>8706409.6055471338</v>
      </c>
      <c r="M59" s="15">
        <f t="shared" si="10"/>
        <v>263510.42090702249</v>
      </c>
      <c r="N59" s="15">
        <f>MIN(M59,I58*(1+IFERROR(AVERAGEIFS(Assets!$D$3:$D$51,Assets!$G$3:$G$51,"Taxable")/100,Settings!$B$11/100)))</f>
        <v>0</v>
      </c>
      <c r="O59" s="15">
        <f>IF(B59&gt;=59.5,MIN(M59-N59,J58*(1+IFERROR(AVERAGEIFS(Assets!$D$3:$D$51,Assets!$G$3:$G$51,"Pre-Tax")/100,Settings!$B$11/100))),0)</f>
        <v>263510.42090702249</v>
      </c>
      <c r="P59" s="15">
        <f>MIN(M59-N59-O59,K58*(1+IFERROR(AVERAGEIFS(Assets!$D$3:$D$51,Assets!$G$3:$G$51,"Tax-Free")/100,Settings!$B$11/100)))</f>
        <v>0</v>
      </c>
      <c r="Q59" s="15">
        <f t="shared" si="11"/>
        <v>0</v>
      </c>
      <c r="R59" s="15">
        <f>L59+SUMIF(Assets!$H$3:$H$51,"Real Estate",Assets!$C$3:$C$51)-SUM(Liabilities!$D$3:$D$52)</f>
        <v>8431409.6055471338</v>
      </c>
      <c r="S59" s="15">
        <f>F59/(Settings!$B$10/100)</f>
        <v>6587760.5226755617</v>
      </c>
      <c r="T59" s="15">
        <f>S59/((1+Settings!$B$11/100)^MAX(0,Settings!$B$5-B59))</f>
        <v>6587760.5226755617</v>
      </c>
      <c r="U59" t="str">
        <f t="shared" si="12"/>
        <v>🔥 FI Reached</v>
      </c>
      <c r="V59" s="1">
        <f t="shared" si="13"/>
        <v>0</v>
      </c>
    </row>
    <row r="60" spans="1:22" x14ac:dyDescent="0.35">
      <c r="A60">
        <v>2081</v>
      </c>
      <c r="B60">
        <f t="shared" si="14"/>
        <v>95</v>
      </c>
      <c r="C60" s="15">
        <f>SUMPRODUCT((Income!$E$3:$E$49&lt;=A60)*(Income!$F$3:$F$49&gt;=A60)*(Income!$C$3:$C$49)*(1+Income!$D$3:$D$49/100)^(A60-Income!$E$3:$E$49))</f>
        <v>0</v>
      </c>
      <c r="D60" s="15">
        <f>C60*(Settings!$B$7/100)</f>
        <v>0</v>
      </c>
      <c r="E60" s="15">
        <f t="shared" si="8"/>
        <v>0</v>
      </c>
      <c r="F60" s="15">
        <f>IF('Simple Budget'!$B$2="Yes",SUMPRODUCT(('Simple Budget'!$E$4:$E$50&lt;=A60)*('Simple Budget'!$F$4:$F$50&gt;=A60)*('Simple Budget'!$B$4:$B$50)*(1+'Simple Budget'!$C$4:$C$50/100)^(A60-'Simple Budget'!$E$4:$E$50)),SUMPRODUCT(('Detailed Budget'!$E$3:$E$105&lt;=A60)*('Detailed Budget'!$F$3:$F$105&gt;=A60)*('Detailed Budget'!$C$3:$C$105)*12*(1+Settings!$B$9/100)^(A60-2024)))</f>
        <v>271415.7335342333</v>
      </c>
      <c r="G60" s="23">
        <v>0</v>
      </c>
      <c r="H60" s="15">
        <f t="shared" si="7"/>
        <v>-271415.7335342333</v>
      </c>
      <c r="I60" s="15">
        <f>I59*(1+IFERROR(AVERAGEIFS(Assets!$D$3:$D$51,Assets!$G$3:$G$51,"Taxable")/100,Settings!$B$11/100))+MAX(0,H60)-N60</f>
        <v>0</v>
      </c>
      <c r="J60" s="15">
        <f>J59*(1+IFERROR(AVERAGEIFS(Assets!$D$3:$D$51,Assets!$G$3:$G$51,"Pre-Tax")/100,Settings!$B$11/100))-O60</f>
        <v>6879565.1950499052</v>
      </c>
      <c r="K60" s="15">
        <f>K59*(1+IFERROR(AVERAGEIFS(Assets!$D$3:$D$51,Assets!$G$3:$G$51,"Tax-Free")/100,Settings!$B$11/100))-P60</f>
        <v>2104179.8535750899</v>
      </c>
      <c r="L60" s="15">
        <f t="shared" si="9"/>
        <v>8983745.0486249961</v>
      </c>
      <c r="M60" s="15">
        <f t="shared" si="10"/>
        <v>271415.7335342333</v>
      </c>
      <c r="N60" s="15">
        <f>MIN(M60,I59*(1+IFERROR(AVERAGEIFS(Assets!$D$3:$D$51,Assets!$G$3:$G$51,"Taxable")/100,Settings!$B$11/100)))</f>
        <v>0</v>
      </c>
      <c r="O60" s="15">
        <f>IF(B60&gt;=59.5,MIN(M60-N60,J59*(1+IFERROR(AVERAGEIFS(Assets!$D$3:$D$51,Assets!$G$3:$G$51,"Pre-Tax")/100,Settings!$B$11/100))),0)</f>
        <v>271415.7335342333</v>
      </c>
      <c r="P60" s="15">
        <f>MIN(M60-N60-O60,K59*(1+IFERROR(AVERAGEIFS(Assets!$D$3:$D$51,Assets!$G$3:$G$51,"Tax-Free")/100,Settings!$B$11/100)))</f>
        <v>0</v>
      </c>
      <c r="Q60" s="15">
        <f t="shared" si="11"/>
        <v>0</v>
      </c>
      <c r="R60" s="15">
        <f>L60+SUMIF(Assets!$H$3:$H$51,"Real Estate",Assets!$C$3:$C$51)-SUM(Liabilities!$D$3:$D$52)</f>
        <v>8708745.0486249961</v>
      </c>
      <c r="S60" s="15">
        <f>F60/(Settings!$B$10/100)</f>
        <v>6785393.3383558318</v>
      </c>
      <c r="T60" s="15">
        <f>S60/((1+Settings!$B$11/100)^MAX(0,Settings!$B$5-B60))</f>
        <v>6785393.3383558318</v>
      </c>
      <c r="U60" t="str">
        <f t="shared" si="12"/>
        <v>🔥 FI Reached</v>
      </c>
      <c r="V60" s="1">
        <f t="shared" si="13"/>
        <v>0</v>
      </c>
    </row>
    <row r="61" spans="1:22" x14ac:dyDescent="0.35">
      <c r="A61">
        <v>2082</v>
      </c>
      <c r="B61">
        <f t="shared" si="14"/>
        <v>96</v>
      </c>
      <c r="C61" s="15">
        <f>SUMPRODUCT((Income!$E$3:$E$49&lt;=A61)*(Income!$F$3:$F$49&gt;=A61)*(Income!$C$3:$C$49)*(1+Income!$D$3:$D$49/100)^(A61-Income!$E$3:$E$49))</f>
        <v>0</v>
      </c>
      <c r="D61" s="15">
        <f>C61*(Settings!$B$7/100)</f>
        <v>0</v>
      </c>
      <c r="E61" s="15">
        <f t="shared" si="8"/>
        <v>0</v>
      </c>
      <c r="F61" s="15">
        <f>IF('Simple Budget'!$B$2="Yes",SUMPRODUCT(('Simple Budget'!$E$4:$E$50&lt;=A61)*('Simple Budget'!$F$4:$F$50&gt;=A61)*('Simple Budget'!$B$4:$B$50)*(1+'Simple Budget'!$C$4:$C$50/100)^(A61-'Simple Budget'!$E$4:$E$50)),SUMPRODUCT(('Detailed Budget'!$E$3:$E$105&lt;=A61)*('Detailed Budget'!$F$3:$F$105&gt;=A61)*('Detailed Budget'!$C$3:$C$105)*12*(1+Settings!$B$9/100)^(A61-2024)))</f>
        <v>279558.20554026024</v>
      </c>
      <c r="G61" s="23">
        <v>0</v>
      </c>
      <c r="H61" s="15">
        <f t="shared" si="7"/>
        <v>-279558.20554026024</v>
      </c>
      <c r="I61" s="15">
        <f>I60*(1+IFERROR(AVERAGEIFS(Assets!$D$3:$D$51,Assets!$G$3:$G$51,"Taxable")/100,Settings!$B$11/100))+MAX(0,H61)-N61</f>
        <v>0</v>
      </c>
      <c r="J61" s="15">
        <f>J60*(1+IFERROR(AVERAGEIFS(Assets!$D$3:$D$51,Assets!$G$3:$G$51,"Pre-Tax")/100,Settings!$B$11/100))-O61</f>
        <v>7081576.5531631391</v>
      </c>
      <c r="K61" s="15">
        <f>K60*(1+IFERROR(AVERAGEIFS(Assets!$D$3:$D$51,Assets!$G$3:$G$51,"Tax-Free")/100,Settings!$B$11/100))-P61</f>
        <v>2188347.0477180937</v>
      </c>
      <c r="L61" s="15">
        <f t="shared" si="9"/>
        <v>9269923.6008812338</v>
      </c>
      <c r="M61" s="15">
        <f t="shared" si="10"/>
        <v>279558.20554026024</v>
      </c>
      <c r="N61" s="15">
        <f>MIN(M61,I60*(1+IFERROR(AVERAGEIFS(Assets!$D$3:$D$51,Assets!$G$3:$G$51,"Taxable")/100,Settings!$B$11/100)))</f>
        <v>0</v>
      </c>
      <c r="O61" s="15">
        <f>IF(B61&gt;=59.5,MIN(M61-N61,J60*(1+IFERROR(AVERAGEIFS(Assets!$D$3:$D$51,Assets!$G$3:$G$51,"Pre-Tax")/100,Settings!$B$11/100))),0)</f>
        <v>279558.20554026024</v>
      </c>
      <c r="P61" s="15">
        <f>MIN(M61-N61-O61,K60*(1+IFERROR(AVERAGEIFS(Assets!$D$3:$D$51,Assets!$G$3:$G$51,"Tax-Free")/100,Settings!$B$11/100)))</f>
        <v>0</v>
      </c>
      <c r="Q61" s="15">
        <f t="shared" si="11"/>
        <v>0</v>
      </c>
      <c r="R61" s="15">
        <f>L61+SUMIF(Assets!$H$3:$H$51,"Real Estate",Assets!$C$3:$C$51)-SUM(Liabilities!$D$3:$D$52)</f>
        <v>8994923.6008812338</v>
      </c>
      <c r="S61" s="15">
        <f>F61/(Settings!$B$10/100)</f>
        <v>6988955.1385065056</v>
      </c>
      <c r="T61" s="15">
        <f>S61/((1+Settings!$B$11/100)^MAX(0,Settings!$B$5-B61))</f>
        <v>6988955.1385065056</v>
      </c>
      <c r="U61" t="str">
        <f t="shared" si="12"/>
        <v>🔥 FI Reached</v>
      </c>
      <c r="V61" s="1">
        <f t="shared" si="13"/>
        <v>0</v>
      </c>
    </row>
    <row r="62" spans="1:22" x14ac:dyDescent="0.35">
      <c r="A62">
        <v>2083</v>
      </c>
      <c r="B62">
        <f t="shared" si="14"/>
        <v>97</v>
      </c>
      <c r="C62" s="15">
        <f>SUMPRODUCT((Income!$E$3:$E$49&lt;=A62)*(Income!$F$3:$F$49&gt;=A62)*(Income!$C$3:$C$49)*(1+Income!$D$3:$D$49/100)^(A62-Income!$E$3:$E$49))</f>
        <v>0</v>
      </c>
      <c r="D62" s="15">
        <f>C62*(Settings!$B$7/100)</f>
        <v>0</v>
      </c>
      <c r="E62" s="15">
        <f t="shared" si="8"/>
        <v>0</v>
      </c>
      <c r="F62" s="15">
        <f>IF('Simple Budget'!$B$2="Yes",SUMPRODUCT(('Simple Budget'!$E$4:$E$50&lt;=A62)*('Simple Budget'!$F$4:$F$50&gt;=A62)*('Simple Budget'!$B$4:$B$50)*(1+'Simple Budget'!$C$4:$C$50/100)^(A62-'Simple Budget'!$E$4:$E$50)),SUMPRODUCT(('Detailed Budget'!$E$3:$E$105&lt;=A62)*('Detailed Budget'!$F$3:$F$105&gt;=A62)*('Detailed Budget'!$C$3:$C$105)*12*(1+Settings!$B$9/100)^(A62-2024)))</f>
        <v>287944.95170646813</v>
      </c>
      <c r="G62" s="23">
        <v>0</v>
      </c>
      <c r="H62" s="15">
        <f t="shared" si="7"/>
        <v>-287944.95170646813</v>
      </c>
      <c r="I62" s="15">
        <f>I61*(1+IFERROR(AVERAGEIFS(Assets!$D$3:$D$51,Assets!$G$3:$G$51,"Taxable")/100,Settings!$B$11/100))+MAX(0,H62)-N62</f>
        <v>0</v>
      </c>
      <c r="J62" s="15">
        <f>J61*(1+IFERROR(AVERAGEIFS(Assets!$D$3:$D$51,Assets!$G$3:$G$51,"Pre-Tax")/100,Settings!$B$11/100))-O62</f>
        <v>7289341.9601780912</v>
      </c>
      <c r="K62" s="15">
        <f>K61*(1+IFERROR(AVERAGEIFS(Assets!$D$3:$D$51,Assets!$G$3:$G$51,"Tax-Free")/100,Settings!$B$11/100))-P62</f>
        <v>2275880.9296268173</v>
      </c>
      <c r="L62" s="15">
        <f t="shared" si="9"/>
        <v>9565222.889804909</v>
      </c>
      <c r="M62" s="15">
        <f t="shared" si="10"/>
        <v>287944.95170646813</v>
      </c>
      <c r="N62" s="15">
        <f>MIN(M62,I61*(1+IFERROR(AVERAGEIFS(Assets!$D$3:$D$51,Assets!$G$3:$G$51,"Taxable")/100,Settings!$B$11/100)))</f>
        <v>0</v>
      </c>
      <c r="O62" s="15">
        <f>IF(B62&gt;=59.5,MIN(M62-N62,J61*(1+IFERROR(AVERAGEIFS(Assets!$D$3:$D$51,Assets!$G$3:$G$51,"Pre-Tax")/100,Settings!$B$11/100))),0)</f>
        <v>287944.95170646813</v>
      </c>
      <c r="P62" s="15">
        <f>MIN(M62-N62-O62,K61*(1+IFERROR(AVERAGEIFS(Assets!$D$3:$D$51,Assets!$G$3:$G$51,"Tax-Free")/100,Settings!$B$11/100)))</f>
        <v>0</v>
      </c>
      <c r="Q62" s="15">
        <f t="shared" si="11"/>
        <v>0</v>
      </c>
      <c r="R62" s="15">
        <f>L62+SUMIF(Assets!$H$3:$H$51,"Real Estate",Assets!$C$3:$C$51)-SUM(Liabilities!$D$3:$D$52)</f>
        <v>9290222.889804909</v>
      </c>
      <c r="S62" s="15">
        <f>F62/(Settings!$B$10/100)</f>
        <v>7198623.7926617032</v>
      </c>
      <c r="T62" s="15">
        <f>S62/((1+Settings!$B$11/100)^MAX(0,Settings!$B$5-B62))</f>
        <v>7198623.7926617032</v>
      </c>
      <c r="U62" t="str">
        <f t="shared" si="12"/>
        <v>🔥 FI Reached</v>
      </c>
      <c r="V62" s="1">
        <f t="shared" si="13"/>
        <v>0</v>
      </c>
    </row>
    <row r="63" spans="1:22" x14ac:dyDescent="0.35">
      <c r="A63">
        <v>2084</v>
      </c>
      <c r="B63">
        <f t="shared" si="14"/>
        <v>98</v>
      </c>
      <c r="C63" s="15">
        <f>SUMPRODUCT((Income!$E$3:$E$49&lt;=A63)*(Income!$F$3:$F$49&gt;=A63)*(Income!$C$3:$C$49)*(1+Income!$D$3:$D$49/100)^(A63-Income!$E$3:$E$49))</f>
        <v>0</v>
      </c>
      <c r="D63" s="15">
        <f>C63*(Settings!$B$7/100)</f>
        <v>0</v>
      </c>
      <c r="E63" s="15">
        <f t="shared" si="8"/>
        <v>0</v>
      </c>
      <c r="F63" s="15">
        <f>IF('Simple Budget'!$B$2="Yes",SUMPRODUCT(('Simple Budget'!$E$4:$E$50&lt;=A63)*('Simple Budget'!$F$4:$F$50&gt;=A63)*('Simple Budget'!$B$4:$B$50)*(1+'Simple Budget'!$C$4:$C$50/100)^(A63-'Simple Budget'!$E$4:$E$50)),SUMPRODUCT(('Detailed Budget'!$E$3:$E$105&lt;=A63)*('Detailed Budget'!$F$3:$F$105&gt;=A63)*('Detailed Budget'!$C$3:$C$105)*12*(1+Settings!$B$9/100)^(A63-2024)))</f>
        <v>296583.30025766208</v>
      </c>
      <c r="G63" s="23">
        <v>0</v>
      </c>
      <c r="H63" s="15">
        <f t="shared" si="7"/>
        <v>-296583.30025766208</v>
      </c>
      <c r="I63" s="15">
        <f>I62*(1+IFERROR(AVERAGEIFS(Assets!$D$3:$D$51,Assets!$G$3:$G$51,"Taxable")/100,Settings!$B$11/100))+MAX(0,H63)-N63</f>
        <v>0</v>
      </c>
      <c r="J63" s="15">
        <f>J62*(1+IFERROR(AVERAGEIFS(Assets!$D$3:$D$51,Assets!$G$3:$G$51,"Pre-Tax")/100,Settings!$B$11/100))-O63</f>
        <v>7503012.5971328961</v>
      </c>
      <c r="K63" s="15">
        <f>K62*(1+IFERROR(AVERAGEIFS(Assets!$D$3:$D$51,Assets!$G$3:$G$51,"Tax-Free")/100,Settings!$B$11/100))-P63</f>
        <v>2366916.16681189</v>
      </c>
      <c r="L63" s="15">
        <f t="shared" si="9"/>
        <v>9869928.763944786</v>
      </c>
      <c r="M63" s="15">
        <f t="shared" si="10"/>
        <v>296583.30025766208</v>
      </c>
      <c r="N63" s="15">
        <f>MIN(M63,I62*(1+IFERROR(AVERAGEIFS(Assets!$D$3:$D$51,Assets!$G$3:$G$51,"Taxable")/100,Settings!$B$11/100)))</f>
        <v>0</v>
      </c>
      <c r="O63" s="15">
        <f>IF(B63&gt;=59.5,MIN(M63-N63,J62*(1+IFERROR(AVERAGEIFS(Assets!$D$3:$D$51,Assets!$G$3:$G$51,"Pre-Tax")/100,Settings!$B$11/100))),0)</f>
        <v>296583.30025766208</v>
      </c>
      <c r="P63" s="15">
        <f>MIN(M63-N63-O63,K62*(1+IFERROR(AVERAGEIFS(Assets!$D$3:$D$51,Assets!$G$3:$G$51,"Tax-Free")/100,Settings!$B$11/100)))</f>
        <v>0</v>
      </c>
      <c r="Q63" s="15">
        <f t="shared" si="11"/>
        <v>0</v>
      </c>
      <c r="R63" s="15">
        <f>L63+SUMIF(Assets!$H$3:$H$51,"Real Estate",Assets!$C$3:$C$51)-SUM(Liabilities!$D$3:$D$52)</f>
        <v>9594928.763944786</v>
      </c>
      <c r="S63" s="15">
        <f>F63/(Settings!$B$10/100)</f>
        <v>7414582.5064415522</v>
      </c>
      <c r="T63" s="15">
        <f>S63/((1+Settings!$B$11/100)^MAX(0,Settings!$B$5-B63))</f>
        <v>7414582.5064415522</v>
      </c>
      <c r="U63" t="str">
        <f t="shared" si="12"/>
        <v>🔥 FI Reached</v>
      </c>
      <c r="V63" s="1">
        <f t="shared" si="13"/>
        <v>0</v>
      </c>
    </row>
    <row r="64" spans="1:22" x14ac:dyDescent="0.35">
      <c r="A64">
        <v>2085</v>
      </c>
      <c r="B64">
        <f t="shared" si="14"/>
        <v>99</v>
      </c>
      <c r="C64" s="15">
        <f>SUMPRODUCT((Income!$E$3:$E$49&lt;=A64)*(Income!$F$3:$F$49&gt;=A64)*(Income!$C$3:$C$49)*(1+Income!$D$3:$D$49/100)^(A64-Income!$E$3:$E$49))</f>
        <v>0</v>
      </c>
      <c r="D64" s="15">
        <f>C64*(Settings!$B$7/100)</f>
        <v>0</v>
      </c>
      <c r="E64" s="15">
        <f t="shared" si="8"/>
        <v>0</v>
      </c>
      <c r="F64" s="15">
        <f>IF('Simple Budget'!$B$2="Yes",SUMPRODUCT(('Simple Budget'!$E$4:$E$50&lt;=A64)*('Simple Budget'!$F$4:$F$50&gt;=A64)*('Simple Budget'!$B$4:$B$50)*(1+'Simple Budget'!$C$4:$C$50/100)^(A64-'Simple Budget'!$E$4:$E$50)),SUMPRODUCT(('Detailed Budget'!$E$3:$E$105&lt;=A64)*('Detailed Budget'!$F$3:$F$105&gt;=A64)*('Detailed Budget'!$C$3:$C$105)*12*(1+Settings!$B$9/100)^(A64-2024)))</f>
        <v>268342.48993872927</v>
      </c>
      <c r="G64" s="23">
        <v>0</v>
      </c>
      <c r="H64" s="15">
        <f t="shared" si="7"/>
        <v>-268342.48993872927</v>
      </c>
      <c r="I64" s="15">
        <f>I63*(1+IFERROR(AVERAGEIFS(Assets!$D$3:$D$51,Assets!$G$3:$G$51,"Taxable")/100,Settings!$B$11/100))+MAX(0,H64)-N64</f>
        <v>0</v>
      </c>
      <c r="J64" s="15">
        <f>J63*(1+IFERROR(AVERAGEIFS(Assets!$D$3:$D$51,Assets!$G$3:$G$51,"Pre-Tax")/100,Settings!$B$11/100))-O64</f>
        <v>7759880.9889934696</v>
      </c>
      <c r="K64" s="15">
        <f>K63*(1+IFERROR(AVERAGEIFS(Assets!$D$3:$D$51,Assets!$G$3:$G$51,"Tax-Free")/100,Settings!$B$11/100))-P64</f>
        <v>2461592.8134843656</v>
      </c>
      <c r="L64" s="15">
        <f t="shared" si="9"/>
        <v>10221473.802477835</v>
      </c>
      <c r="M64" s="15">
        <f t="shared" si="10"/>
        <v>268342.48993872927</v>
      </c>
      <c r="N64" s="15">
        <f>MIN(M64,I63*(1+IFERROR(AVERAGEIFS(Assets!$D$3:$D$51,Assets!$G$3:$G$51,"Taxable")/100,Settings!$B$11/100)))</f>
        <v>0</v>
      </c>
      <c r="O64" s="15">
        <f>IF(B64&gt;=59.5,MIN(M64-N64,J63*(1+IFERROR(AVERAGEIFS(Assets!$D$3:$D$51,Assets!$G$3:$G$51,"Pre-Tax")/100,Settings!$B$11/100))),0)</f>
        <v>268342.48993872927</v>
      </c>
      <c r="P64" s="15">
        <f>MIN(M64-N64-O64,K63*(1+IFERROR(AVERAGEIFS(Assets!$D$3:$D$51,Assets!$G$3:$G$51,"Tax-Free")/100,Settings!$B$11/100)))</f>
        <v>0</v>
      </c>
      <c r="Q64" s="15">
        <f t="shared" si="11"/>
        <v>0</v>
      </c>
      <c r="R64" s="15">
        <f>L64+SUMIF(Assets!$H$3:$H$51,"Real Estate",Assets!$C$3:$C$51)-SUM(Liabilities!$D$3:$D$52)</f>
        <v>9946473.8024778347</v>
      </c>
      <c r="S64" s="15">
        <f>F64/(Settings!$B$10/100)</f>
        <v>6708562.2484682314</v>
      </c>
      <c r="T64" s="15">
        <f>S64/((1+Settings!$B$11/100)^MAX(0,Settings!$B$5-B64))</f>
        <v>6708562.2484682314</v>
      </c>
      <c r="U64" t="str">
        <f t="shared" si="12"/>
        <v>🔥 FI Reached</v>
      </c>
      <c r="V64" s="1">
        <f t="shared" si="13"/>
        <v>0</v>
      </c>
    </row>
    <row r="65" spans="1:22" x14ac:dyDescent="0.35">
      <c r="A65">
        <v>2086</v>
      </c>
      <c r="B65">
        <f t="shared" si="14"/>
        <v>100</v>
      </c>
      <c r="C65" s="15">
        <f>SUMPRODUCT((Income!$E$3:$E$49&lt;=A65)*(Income!$F$3:$F$49&gt;=A65)*(Income!$C$3:$C$49)*(1+Income!$D$3:$D$49/100)^(A65-Income!$E$3:$E$49))</f>
        <v>0</v>
      </c>
      <c r="D65" s="15">
        <f>C65*(Settings!$B$7/100)</f>
        <v>0</v>
      </c>
      <c r="E65" s="15">
        <f t="shared" si="8"/>
        <v>0</v>
      </c>
      <c r="F65" s="15">
        <f>IF('Simple Budget'!$B$2="Yes",SUMPRODUCT(('Simple Budget'!$E$4:$E$50&lt;=A65)*('Simple Budget'!$F$4:$F$50&gt;=A65)*('Simple Budget'!$B$4:$B$50)*(1+'Simple Budget'!$C$4:$C$50/100)^(A65-'Simple Budget'!$E$4:$E$50)),SUMPRODUCT(('Detailed Budget'!$E$3:$E$105&lt;=A65)*('Detailed Budget'!$F$3:$F$105&gt;=A65)*('Detailed Budget'!$C$3:$C$105)*12*(1+Settings!$B$9/100)^(A65-2024)))</f>
        <v>276392.76463689114</v>
      </c>
      <c r="G65" s="23">
        <v>0</v>
      </c>
      <c r="H65" s="15">
        <f t="shared" si="7"/>
        <v>-276392.76463689114</v>
      </c>
      <c r="I65" s="15">
        <f>I64*(1+IFERROR(AVERAGEIFS(Assets!$D$3:$D$51,Assets!$G$3:$G$51,"Taxable")/100,Settings!$B$11/100))+MAX(0,H65)-N65</f>
        <v>0</v>
      </c>
      <c r="J65" s="15">
        <f>J64*(1+IFERROR(AVERAGEIFS(Assets!$D$3:$D$51,Assets!$G$3:$G$51,"Pre-Tax")/100,Settings!$B$11/100))-O65</f>
        <v>8026679.8935861224</v>
      </c>
      <c r="K65" s="15">
        <f>K64*(1+IFERROR(AVERAGEIFS(Assets!$D$3:$D$51,Assets!$G$3:$G$51,"Tax-Free")/100,Settings!$B$11/100))-P65</f>
        <v>2560056.5260237404</v>
      </c>
      <c r="L65" s="15">
        <f t="shared" si="9"/>
        <v>10586736.419609863</v>
      </c>
      <c r="M65" s="15">
        <f t="shared" si="10"/>
        <v>276392.76463689114</v>
      </c>
      <c r="N65" s="15">
        <f>MIN(M65,I64*(1+IFERROR(AVERAGEIFS(Assets!$D$3:$D$51,Assets!$G$3:$G$51,"Taxable")/100,Settings!$B$11/100)))</f>
        <v>0</v>
      </c>
      <c r="O65" s="15">
        <f>IF(B65&gt;=59.5,MIN(M65-N65,J64*(1+IFERROR(AVERAGEIFS(Assets!$D$3:$D$51,Assets!$G$3:$G$51,"Pre-Tax")/100,Settings!$B$11/100))),0)</f>
        <v>276392.76463689114</v>
      </c>
      <c r="P65" s="15">
        <f>MIN(M65-N65-O65,K64*(1+IFERROR(AVERAGEIFS(Assets!$D$3:$D$51,Assets!$G$3:$G$51,"Tax-Free")/100,Settings!$B$11/100)))</f>
        <v>0</v>
      </c>
      <c r="Q65" s="15">
        <f t="shared" si="11"/>
        <v>0</v>
      </c>
      <c r="R65" s="15">
        <f>L65+SUMIF(Assets!$H$3:$H$51,"Real Estate",Assets!$C$3:$C$51)-SUM(Liabilities!$D$3:$D$52)</f>
        <v>10311736.419609863</v>
      </c>
      <c r="S65" s="15">
        <f>F65/(Settings!$B$10/100)</f>
        <v>6909819.1159222787</v>
      </c>
      <c r="T65" s="15">
        <f>S65/((1+Settings!$B$11/100)^MAX(0,Settings!$B$5-B65))</f>
        <v>6909819.1159222787</v>
      </c>
      <c r="U65" t="str">
        <f t="shared" si="12"/>
        <v>🔥 FI Reached</v>
      </c>
      <c r="V65" s="1">
        <f t="shared" si="13"/>
        <v>0</v>
      </c>
    </row>
    <row r="66" spans="1:22" x14ac:dyDescent="0.35">
      <c r="A66">
        <v>2087</v>
      </c>
      <c r="B66">
        <f t="shared" si="14"/>
        <v>101</v>
      </c>
      <c r="C66" s="15">
        <f>SUMPRODUCT((Income!$E$3:$E$49&lt;=A66)*(Income!$F$3:$F$49&gt;=A66)*(Income!$C$3:$C$49)*(1+Income!$D$3:$D$49/100)^(A66-Income!$E$3:$E$49))</f>
        <v>0</v>
      </c>
      <c r="D66" s="15">
        <f>C66*(Settings!$B$7/100)</f>
        <v>0</v>
      </c>
      <c r="E66" s="15">
        <f t="shared" si="8"/>
        <v>0</v>
      </c>
      <c r="F66" s="15">
        <f>IF('Simple Budget'!$B$2="Yes",SUMPRODUCT(('Simple Budget'!$E$4:$E$50&lt;=A66)*('Simple Budget'!$F$4:$F$50&gt;=A66)*('Simple Budget'!$B$4:$B$50)*(1+'Simple Budget'!$C$4:$C$50/100)^(A66-'Simple Budget'!$E$4:$E$50)),SUMPRODUCT(('Detailed Budget'!$E$3:$E$105&lt;=A66)*('Detailed Budget'!$F$3:$F$105&gt;=A66)*('Detailed Budget'!$C$3:$C$105)*12*(1+Settings!$B$9/100)^(A66-2024)))</f>
        <v>284684.54757599795</v>
      </c>
      <c r="G66" s="23">
        <v>0</v>
      </c>
      <c r="H66" s="15">
        <f t="shared" si="7"/>
        <v>-284684.54757599795</v>
      </c>
      <c r="I66" s="15">
        <f>I65*(1+IFERROR(AVERAGEIFS(Assets!$D$3:$D$51,Assets!$G$3:$G$51,"Taxable")/100,Settings!$B$11/100))+MAX(0,H66)-N66</f>
        <v>0</v>
      </c>
      <c r="J66" s="15">
        <f>J65*(1+IFERROR(AVERAGEIFS(Assets!$D$3:$D$51,Assets!$G$3:$G$51,"Pre-Tax")/100,Settings!$B$11/100))-O66</f>
        <v>8303862.9385611536</v>
      </c>
      <c r="K66" s="15">
        <f>K65*(1+IFERROR(AVERAGEIFS(Assets!$D$3:$D$51,Assets!$G$3:$G$51,"Tax-Free")/100,Settings!$B$11/100))-P66</f>
        <v>2662458.7870646901</v>
      </c>
      <c r="L66" s="15">
        <f t="shared" si="9"/>
        <v>10966321.725625843</v>
      </c>
      <c r="M66" s="15">
        <f t="shared" si="10"/>
        <v>284684.54757599795</v>
      </c>
      <c r="N66" s="15">
        <f>MIN(M66,I65*(1+IFERROR(AVERAGEIFS(Assets!$D$3:$D$51,Assets!$G$3:$G$51,"Taxable")/100,Settings!$B$11/100)))</f>
        <v>0</v>
      </c>
      <c r="O66" s="15">
        <f>IF(B66&gt;=59.5,MIN(M66-N66,J65*(1+IFERROR(AVERAGEIFS(Assets!$D$3:$D$51,Assets!$G$3:$G$51,"Pre-Tax")/100,Settings!$B$11/100))),0)</f>
        <v>284684.54757599795</v>
      </c>
      <c r="P66" s="15">
        <f>MIN(M66-N66-O66,K65*(1+IFERROR(AVERAGEIFS(Assets!$D$3:$D$51,Assets!$G$3:$G$51,"Tax-Free")/100,Settings!$B$11/100)))</f>
        <v>0</v>
      </c>
      <c r="Q66" s="15">
        <f t="shared" si="11"/>
        <v>0</v>
      </c>
      <c r="R66" s="15">
        <f>L66+SUMIF(Assets!$H$3:$H$51,"Real Estate",Assets!$C$3:$C$51)-SUM(Liabilities!$D$3:$D$52)</f>
        <v>10691321.725625843</v>
      </c>
      <c r="S66" s="15">
        <f>F66/(Settings!$B$10/100)</f>
        <v>7117113.6893999483</v>
      </c>
      <c r="T66" s="15">
        <f>S66/((1+Settings!$B$11/100)^MAX(0,Settings!$B$5-B66))</f>
        <v>7117113.6893999483</v>
      </c>
      <c r="U66" t="str">
        <f t="shared" si="12"/>
        <v>🔥 FI Reached</v>
      </c>
      <c r="V66" s="1">
        <f t="shared" si="13"/>
        <v>0</v>
      </c>
    </row>
    <row r="67" spans="1:22" x14ac:dyDescent="0.35">
      <c r="A67">
        <v>2088</v>
      </c>
      <c r="B67">
        <f t="shared" si="14"/>
        <v>102</v>
      </c>
      <c r="C67" s="15">
        <f>SUMPRODUCT((Income!$E$3:$E$49&lt;=A67)*(Income!$F$3:$F$49&gt;=A67)*(Income!$C$3:$C$49)*(1+Income!$D$3:$D$49/100)^(A67-Income!$E$3:$E$49))</f>
        <v>0</v>
      </c>
      <c r="D67" s="15">
        <f>C67*(Settings!$B$7/100)</f>
        <v>0</v>
      </c>
      <c r="E67" s="15">
        <f t="shared" ref="E67:E83" si="15">C67-D67</f>
        <v>0</v>
      </c>
      <c r="F67" s="15">
        <f>IF('Simple Budget'!$B$2="Yes",SUMPRODUCT(('Simple Budget'!$E$4:$E$50&lt;=A67)*('Simple Budget'!$F$4:$F$50&gt;=A67)*('Simple Budget'!$B$4:$B$50)*(1+'Simple Budget'!$C$4:$C$50/100)^(A67-'Simple Budget'!$E$4:$E$50)),SUMPRODUCT(('Detailed Budget'!$E$3:$E$105&lt;=A67)*('Detailed Budget'!$F$3:$F$105&gt;=A67)*('Detailed Budget'!$C$3:$C$105)*12*(1+Settings!$B$9/100)^(A67-2024)))</f>
        <v>293225.08400327776</v>
      </c>
      <c r="G67" s="23">
        <v>0</v>
      </c>
      <c r="H67" s="15">
        <f t="shared" si="7"/>
        <v>-293225.08400327776</v>
      </c>
      <c r="I67" s="15">
        <f>I66*(1+IFERROR(AVERAGEIFS(Assets!$D$3:$D$51,Assets!$G$3:$G$51,"Taxable")/100,Settings!$B$11/100))+MAX(0,H67)-N67</f>
        <v>0</v>
      </c>
      <c r="J67" s="15">
        <f>J66*(1+IFERROR(AVERAGEIFS(Assets!$D$3:$D$51,Assets!$G$3:$G$51,"Pre-Tax")/100,Settings!$B$11/100))-O67</f>
        <v>8591908.2602571584</v>
      </c>
      <c r="K67" s="15">
        <f>K66*(1+IFERROR(AVERAGEIFS(Assets!$D$3:$D$51,Assets!$G$3:$G$51,"Tax-Free")/100,Settings!$B$11/100))-P67</f>
        <v>2768957.138547278</v>
      </c>
      <c r="L67" s="15">
        <f t="shared" ref="L67:L83" si="16">I67+J67+K67</f>
        <v>11360865.398804437</v>
      </c>
      <c r="M67" s="15">
        <f t="shared" ref="M67:M83" si="17">IF(H67&lt;0,ABS(H67),0)</f>
        <v>293225.08400327776</v>
      </c>
      <c r="N67" s="15">
        <f>MIN(M67,I66*(1+IFERROR(AVERAGEIFS(Assets!$D$3:$D$51,Assets!$G$3:$G$51,"Taxable")/100,Settings!$B$11/100)))</f>
        <v>0</v>
      </c>
      <c r="O67" s="15">
        <f>IF(B67&gt;=59.5,MIN(M67-N67,J66*(1+IFERROR(AVERAGEIFS(Assets!$D$3:$D$51,Assets!$G$3:$G$51,"Pre-Tax")/100,Settings!$B$11/100))),0)</f>
        <v>293225.08400327776</v>
      </c>
      <c r="P67" s="15">
        <f>MIN(M67-N67-O67,K66*(1+IFERROR(AVERAGEIFS(Assets!$D$3:$D$51,Assets!$G$3:$G$51,"Tax-Free")/100,Settings!$B$11/100)))</f>
        <v>0</v>
      </c>
      <c r="Q67" s="15">
        <f t="shared" ref="Q67:Q83" si="18">MAX(0,M67-N67-O67-P67)</f>
        <v>0</v>
      </c>
      <c r="R67" s="15">
        <f>L67+SUMIF(Assets!$H$3:$H$51,"Real Estate",Assets!$C$3:$C$51)-SUM(Liabilities!$D$3:$D$52)</f>
        <v>11085865.398804437</v>
      </c>
      <c r="S67" s="15">
        <f>F67/(Settings!$B$10/100)</f>
        <v>7330627.1000819439</v>
      </c>
      <c r="T67" s="15">
        <f>S67/((1+Settings!$B$11/100)^MAX(0,Settings!$B$5-B67))</f>
        <v>7330627.1000819439</v>
      </c>
      <c r="U67" t="str">
        <f t="shared" ref="U67:U83" si="19">IF(L67&gt;=S67,"🔥 FI Reached",IF(L67&gt;=T67,"🌊 Coast FI",""))</f>
        <v>🔥 FI Reached</v>
      </c>
      <c r="V67" s="1">
        <f t="shared" ref="V67:V83" si="20">IF(C67&lt;=0,0,MAX(-1,H67/C67))</f>
        <v>0</v>
      </c>
    </row>
    <row r="68" spans="1:22" x14ac:dyDescent="0.35">
      <c r="A68">
        <v>2089</v>
      </c>
      <c r="B68">
        <f t="shared" ref="B68:B83" si="21">B67+1</f>
        <v>103</v>
      </c>
      <c r="C68" s="15">
        <f>SUMPRODUCT((Income!$E$3:$E$49&lt;=A68)*(Income!$F$3:$F$49&gt;=A68)*(Income!$C$3:$C$49)*(1+Income!$D$3:$D$49/100)^(A68-Income!$E$3:$E$49))</f>
        <v>0</v>
      </c>
      <c r="D68" s="15">
        <f>C68*(Settings!$B$7/100)</f>
        <v>0</v>
      </c>
      <c r="E68" s="15">
        <f t="shared" si="15"/>
        <v>0</v>
      </c>
      <c r="F68" s="15">
        <f>IF('Simple Budget'!$B$2="Yes",SUMPRODUCT(('Simple Budget'!$E$4:$E$50&lt;=A68)*('Simple Budget'!$F$4:$F$50&gt;=A68)*('Simple Budget'!$B$4:$B$50)*(1+'Simple Budget'!$C$4:$C$50/100)^(A68-'Simple Budget'!$E$4:$E$50)),SUMPRODUCT(('Detailed Budget'!$E$3:$E$105&lt;=A68)*('Detailed Budget'!$F$3:$F$105&gt;=A68)*('Detailed Budget'!$C$3:$C$105)*12*(1+Settings!$B$9/100)^(A68-2024)))</f>
        <v>289727.86760112201</v>
      </c>
      <c r="G68" s="23">
        <v>0</v>
      </c>
      <c r="H68" s="15">
        <f t="shared" ref="H68:H83" si="22">E68-F68+G68</f>
        <v>-289727.86760112201</v>
      </c>
      <c r="I68" s="15">
        <f>I67*(1+IFERROR(AVERAGEIFS(Assets!$D$3:$D$51,Assets!$G$3:$G$51,"Taxable")/100,Settings!$B$11/100))+MAX(0,H68)-N68</f>
        <v>0</v>
      </c>
      <c r="J68" s="15">
        <f>J67*(1+IFERROR(AVERAGEIFS(Assets!$D$3:$D$51,Assets!$G$3:$G$51,"Pre-Tax")/100,Settings!$B$11/100))-O68</f>
        <v>8903613.9708740376</v>
      </c>
      <c r="K68" s="15">
        <f>K67*(1+IFERROR(AVERAGEIFS(Assets!$D$3:$D$51,Assets!$G$3:$G$51,"Tax-Free")/100,Settings!$B$11/100))-P68</f>
        <v>2879715.4240891691</v>
      </c>
      <c r="L68" s="15">
        <f t="shared" si="16"/>
        <v>11783329.394963207</v>
      </c>
      <c r="M68" s="15">
        <f t="shared" si="17"/>
        <v>289727.86760112201</v>
      </c>
      <c r="N68" s="15">
        <f>MIN(M68,I67*(1+IFERROR(AVERAGEIFS(Assets!$D$3:$D$51,Assets!$G$3:$G$51,"Taxable")/100,Settings!$B$11/100)))</f>
        <v>0</v>
      </c>
      <c r="O68" s="15">
        <f>IF(B68&gt;=59.5,MIN(M68-N68,J67*(1+IFERROR(AVERAGEIFS(Assets!$D$3:$D$51,Assets!$G$3:$G$51,"Pre-Tax")/100,Settings!$B$11/100))),0)</f>
        <v>289727.86760112201</v>
      </c>
      <c r="P68" s="15">
        <f>MIN(M68-N68-O68,K67*(1+IFERROR(AVERAGEIFS(Assets!$D$3:$D$51,Assets!$G$3:$G$51,"Tax-Free")/100,Settings!$B$11/100)))</f>
        <v>0</v>
      </c>
      <c r="Q68" s="15">
        <f t="shared" si="18"/>
        <v>0</v>
      </c>
      <c r="R68" s="15">
        <f>L68+SUMIF(Assets!$H$3:$H$51,"Real Estate",Assets!$C$3:$C$51)-SUM(Liabilities!$D$3:$D$52)</f>
        <v>11508329.394963207</v>
      </c>
      <c r="S68" s="15">
        <f>F68/(Settings!$B$10/100)</f>
        <v>7243196.69002805</v>
      </c>
      <c r="T68" s="15">
        <f>S68/((1+Settings!$B$11/100)^MAX(0,Settings!$B$5-B68))</f>
        <v>7243196.69002805</v>
      </c>
      <c r="U68" t="str">
        <f t="shared" si="19"/>
        <v>🔥 FI Reached</v>
      </c>
      <c r="V68" s="1">
        <f t="shared" si="20"/>
        <v>0</v>
      </c>
    </row>
    <row r="69" spans="1:22" x14ac:dyDescent="0.35">
      <c r="A69">
        <v>2090</v>
      </c>
      <c r="B69">
        <f t="shared" si="21"/>
        <v>104</v>
      </c>
      <c r="C69" s="15">
        <f>SUMPRODUCT((Income!$E$3:$E$49&lt;=A69)*(Income!$F$3:$F$49&gt;=A69)*(Income!$C$3:$C$49)*(1+Income!$D$3:$D$49/100)^(A69-Income!$E$3:$E$49))</f>
        <v>0</v>
      </c>
      <c r="D69" s="15">
        <f>C69*(Settings!$B$7/100)</f>
        <v>0</v>
      </c>
      <c r="E69" s="15">
        <f t="shared" si="15"/>
        <v>0</v>
      </c>
      <c r="F69" s="15">
        <f>IF('Simple Budget'!$B$2="Yes",SUMPRODUCT(('Simple Budget'!$E$4:$E$50&lt;=A69)*('Simple Budget'!$F$4:$F$50&gt;=A69)*('Simple Budget'!$B$4:$B$50)*(1+'Simple Budget'!$C$4:$C$50/100)^(A69-'Simple Budget'!$E$4:$E$50)),SUMPRODUCT(('Detailed Budget'!$E$3:$E$105&lt;=A69)*('Detailed Budget'!$F$3:$F$105&gt;=A69)*('Detailed Budget'!$C$3:$C$105)*12*(1+Settings!$B$9/100)^(A69-2024)))</f>
        <v>298419.7036291557</v>
      </c>
      <c r="G69" s="23">
        <v>0</v>
      </c>
      <c r="H69" s="15">
        <f t="shared" si="22"/>
        <v>-298419.7036291557</v>
      </c>
      <c r="I69" s="15">
        <f>I68*(1+IFERROR(AVERAGEIFS(Assets!$D$3:$D$51,Assets!$G$3:$G$51,"Taxable")/100,Settings!$B$11/100))+MAX(0,H69)-N69</f>
        <v>0</v>
      </c>
      <c r="J69" s="15">
        <f>J68*(1+IFERROR(AVERAGEIFS(Assets!$D$3:$D$51,Assets!$G$3:$G$51,"Pre-Tax")/100,Settings!$B$11/100))-O69</f>
        <v>9228447.2452060636</v>
      </c>
      <c r="K69" s="15">
        <f>K68*(1+IFERROR(AVERAGEIFS(Assets!$D$3:$D$51,Assets!$G$3:$G$51,"Tax-Free")/100,Settings!$B$11/100))-P69</f>
        <v>2994904.0410527359</v>
      </c>
      <c r="L69" s="15">
        <f t="shared" si="16"/>
        <v>12223351.2862588</v>
      </c>
      <c r="M69" s="15">
        <f t="shared" si="17"/>
        <v>298419.7036291557</v>
      </c>
      <c r="N69" s="15">
        <f>MIN(M69,I68*(1+IFERROR(AVERAGEIFS(Assets!$D$3:$D$51,Assets!$G$3:$G$51,"Taxable")/100,Settings!$B$11/100)))</f>
        <v>0</v>
      </c>
      <c r="O69" s="15">
        <f>IF(B69&gt;=59.5,MIN(M69-N69,J68*(1+IFERROR(AVERAGEIFS(Assets!$D$3:$D$51,Assets!$G$3:$G$51,"Pre-Tax")/100,Settings!$B$11/100))),0)</f>
        <v>298419.7036291557</v>
      </c>
      <c r="P69" s="15">
        <f>MIN(M69-N69-O69,K68*(1+IFERROR(AVERAGEIFS(Assets!$D$3:$D$51,Assets!$G$3:$G$51,"Tax-Free")/100,Settings!$B$11/100)))</f>
        <v>0</v>
      </c>
      <c r="Q69" s="15">
        <f t="shared" si="18"/>
        <v>0</v>
      </c>
      <c r="R69" s="15">
        <f>L69+SUMIF(Assets!$H$3:$H$51,"Real Estate",Assets!$C$3:$C$51)-SUM(Liabilities!$D$3:$D$52)</f>
        <v>11948351.2862588</v>
      </c>
      <c r="S69" s="15">
        <f>F69/(Settings!$B$10/100)</f>
        <v>7460492.590728892</v>
      </c>
      <c r="T69" s="15">
        <f>S69/((1+Settings!$B$11/100)^MAX(0,Settings!$B$5-B69))</f>
        <v>7460492.590728892</v>
      </c>
      <c r="U69" t="str">
        <f t="shared" si="19"/>
        <v>🔥 FI Reached</v>
      </c>
      <c r="V69" s="1">
        <f t="shared" si="20"/>
        <v>0</v>
      </c>
    </row>
    <row r="70" spans="1:22" x14ac:dyDescent="0.35">
      <c r="A70">
        <v>2091</v>
      </c>
      <c r="B70">
        <f t="shared" si="21"/>
        <v>105</v>
      </c>
      <c r="C70" s="15">
        <f>SUMPRODUCT((Income!$E$3:$E$49&lt;=A70)*(Income!$F$3:$F$49&gt;=A70)*(Income!$C$3:$C$49)*(1+Income!$D$3:$D$49/100)^(A70-Income!$E$3:$E$49))</f>
        <v>0</v>
      </c>
      <c r="D70" s="15">
        <f>C70*(Settings!$B$7/100)</f>
        <v>0</v>
      </c>
      <c r="E70" s="15">
        <f t="shared" si="15"/>
        <v>0</v>
      </c>
      <c r="F70" s="15">
        <f>IF('Simple Budget'!$B$2="Yes",SUMPRODUCT(('Simple Budget'!$E$4:$E$50&lt;=A70)*('Simple Budget'!$F$4:$F$50&gt;=A70)*('Simple Budget'!$B$4:$B$50)*(1+'Simple Budget'!$C$4:$C$50/100)^(A70-'Simple Budget'!$E$4:$E$50)),SUMPRODUCT(('Detailed Budget'!$E$3:$E$105&lt;=A70)*('Detailed Budget'!$F$3:$F$105&gt;=A70)*('Detailed Budget'!$C$3:$C$105)*12*(1+Settings!$B$9/100)^(A70-2024)))</f>
        <v>307372.29473803029</v>
      </c>
      <c r="G70" s="23">
        <v>0</v>
      </c>
      <c r="H70" s="15">
        <f t="shared" si="22"/>
        <v>-307372.29473803029</v>
      </c>
      <c r="I70" s="15">
        <f>I69*(1+IFERROR(AVERAGEIFS(Assets!$D$3:$D$51,Assets!$G$3:$G$51,"Taxable")/100,Settings!$B$11/100))+MAX(0,H70)-N70</f>
        <v>0</v>
      </c>
      <c r="J70" s="15">
        <f>J69*(1+IFERROR(AVERAGEIFS(Assets!$D$3:$D$51,Assets!$G$3:$G$51,"Pre-Tax")/100,Settings!$B$11/100))-O70</f>
        <v>9567066.2576324586</v>
      </c>
      <c r="K70" s="15">
        <f>K69*(1+IFERROR(AVERAGEIFS(Assets!$D$3:$D$51,Assets!$G$3:$G$51,"Tax-Free")/100,Settings!$B$11/100))-P70</f>
        <v>3114700.2026948454</v>
      </c>
      <c r="L70" s="15">
        <f t="shared" si="16"/>
        <v>12681766.460327305</v>
      </c>
      <c r="M70" s="15">
        <f t="shared" si="17"/>
        <v>307372.29473803029</v>
      </c>
      <c r="N70" s="15">
        <f>MIN(M70,I69*(1+IFERROR(AVERAGEIFS(Assets!$D$3:$D$51,Assets!$G$3:$G$51,"Taxable")/100,Settings!$B$11/100)))</f>
        <v>0</v>
      </c>
      <c r="O70" s="15">
        <f>IF(B70&gt;=59.5,MIN(M70-N70,J69*(1+IFERROR(AVERAGEIFS(Assets!$D$3:$D$51,Assets!$G$3:$G$51,"Pre-Tax")/100,Settings!$B$11/100))),0)</f>
        <v>307372.29473803029</v>
      </c>
      <c r="P70" s="15">
        <f>MIN(M70-N70-O70,K69*(1+IFERROR(AVERAGEIFS(Assets!$D$3:$D$51,Assets!$G$3:$G$51,"Tax-Free")/100,Settings!$B$11/100)))</f>
        <v>0</v>
      </c>
      <c r="Q70" s="15">
        <f t="shared" si="18"/>
        <v>0</v>
      </c>
      <c r="R70" s="15">
        <f>L70+SUMIF(Assets!$H$3:$H$51,"Real Estate",Assets!$C$3:$C$51)-SUM(Liabilities!$D$3:$D$52)</f>
        <v>12406766.460327305</v>
      </c>
      <c r="S70" s="15">
        <f>F70/(Settings!$B$10/100)</f>
        <v>7684307.3684507571</v>
      </c>
      <c r="T70" s="15">
        <f>S70/((1+Settings!$B$11/100)^MAX(0,Settings!$B$5-B70))</f>
        <v>7684307.3684507571</v>
      </c>
      <c r="U70" t="str">
        <f t="shared" si="19"/>
        <v>🔥 FI Reached</v>
      </c>
      <c r="V70" s="1">
        <f t="shared" si="20"/>
        <v>0</v>
      </c>
    </row>
    <row r="71" spans="1:22" x14ac:dyDescent="0.35">
      <c r="A71">
        <v>2092</v>
      </c>
      <c r="B71">
        <f t="shared" si="21"/>
        <v>106</v>
      </c>
      <c r="C71" s="15">
        <f>SUMPRODUCT((Income!$E$3:$E$49&lt;=A71)*(Income!$F$3:$F$49&gt;=A71)*(Income!$C$3:$C$49)*(1+Income!$D$3:$D$49/100)^(A71-Income!$E$3:$E$49))</f>
        <v>0</v>
      </c>
      <c r="D71" s="15">
        <f>C71*(Settings!$B$7/100)</f>
        <v>0</v>
      </c>
      <c r="E71" s="15">
        <f t="shared" si="15"/>
        <v>0</v>
      </c>
      <c r="F71" s="15">
        <f>IF('Simple Budget'!$B$2="Yes",SUMPRODUCT(('Simple Budget'!$E$4:$E$50&lt;=A71)*('Simple Budget'!$F$4:$F$50&gt;=A71)*('Simple Budget'!$B$4:$B$50)*(1+'Simple Budget'!$C$4:$C$50/100)^(A71-'Simple Budget'!$E$4:$E$50)),SUMPRODUCT(('Detailed Budget'!$E$3:$E$105&lt;=A71)*('Detailed Budget'!$F$3:$F$105&gt;=A71)*('Detailed Budget'!$C$3:$C$105)*12*(1+Settings!$B$9/100)^(A71-2024)))</f>
        <v>316593.46358017117</v>
      </c>
      <c r="G71" s="23">
        <v>0</v>
      </c>
      <c r="H71" s="15">
        <f t="shared" si="22"/>
        <v>-316593.46358017117</v>
      </c>
      <c r="I71" s="15">
        <f>I70*(1+IFERROR(AVERAGEIFS(Assets!$D$3:$D$51,Assets!$G$3:$G$51,"Taxable")/100,Settings!$B$11/100))+MAX(0,H71)-N71</f>
        <v>0</v>
      </c>
      <c r="J71" s="15">
        <f>J70*(1+IFERROR(AVERAGEIFS(Assets!$D$3:$D$51,Assets!$G$3:$G$51,"Pre-Tax")/100,Settings!$B$11/100))-O71</f>
        <v>9920167.4320865609</v>
      </c>
      <c r="K71" s="15">
        <f>K70*(1+IFERROR(AVERAGEIFS(Assets!$D$3:$D$51,Assets!$G$3:$G$51,"Tax-Free")/100,Settings!$B$11/100))-P71</f>
        <v>3239288.2108026394</v>
      </c>
      <c r="L71" s="15">
        <f t="shared" si="16"/>
        <v>13159455.6428892</v>
      </c>
      <c r="M71" s="15">
        <f t="shared" si="17"/>
        <v>316593.46358017117</v>
      </c>
      <c r="N71" s="15">
        <f>MIN(M71,I70*(1+IFERROR(AVERAGEIFS(Assets!$D$3:$D$51,Assets!$G$3:$G$51,"Taxable")/100,Settings!$B$11/100)))</f>
        <v>0</v>
      </c>
      <c r="O71" s="15">
        <f>IF(B71&gt;=59.5,MIN(M71-N71,J70*(1+IFERROR(AVERAGEIFS(Assets!$D$3:$D$51,Assets!$G$3:$G$51,"Pre-Tax")/100,Settings!$B$11/100))),0)</f>
        <v>316593.46358017117</v>
      </c>
      <c r="P71" s="15">
        <f>MIN(M71-N71-O71,K70*(1+IFERROR(AVERAGEIFS(Assets!$D$3:$D$51,Assets!$G$3:$G$51,"Tax-Free")/100,Settings!$B$11/100)))</f>
        <v>0</v>
      </c>
      <c r="Q71" s="15">
        <f t="shared" si="18"/>
        <v>0</v>
      </c>
      <c r="R71" s="15">
        <f>L71+SUMIF(Assets!$H$3:$H$51,"Real Estate",Assets!$C$3:$C$51)-SUM(Liabilities!$D$3:$D$52)</f>
        <v>12884455.6428892</v>
      </c>
      <c r="S71" s="15">
        <f>F71/(Settings!$B$10/100)</f>
        <v>7914836.5895042792</v>
      </c>
      <c r="T71" s="15">
        <f>S71/((1+Settings!$B$11/100)^MAX(0,Settings!$B$5-B71))</f>
        <v>7914836.5895042792</v>
      </c>
      <c r="U71" t="str">
        <f t="shared" si="19"/>
        <v>🔥 FI Reached</v>
      </c>
      <c r="V71" s="1">
        <f t="shared" si="20"/>
        <v>0</v>
      </c>
    </row>
    <row r="72" spans="1:22" x14ac:dyDescent="0.35">
      <c r="A72">
        <v>2093</v>
      </c>
      <c r="B72">
        <f t="shared" si="21"/>
        <v>107</v>
      </c>
      <c r="C72" s="15">
        <f>SUMPRODUCT((Income!$E$3:$E$49&lt;=A72)*(Income!$F$3:$F$49&gt;=A72)*(Income!$C$3:$C$49)*(1+Income!$D$3:$D$49/100)^(A72-Income!$E$3:$E$49))</f>
        <v>0</v>
      </c>
      <c r="D72" s="15">
        <f>C72*(Settings!$B$7/100)</f>
        <v>0</v>
      </c>
      <c r="E72" s="15">
        <f t="shared" si="15"/>
        <v>0</v>
      </c>
      <c r="F72" s="15">
        <f>IF('Simple Budget'!$B$2="Yes",SUMPRODUCT(('Simple Budget'!$E$4:$E$50&lt;=A72)*('Simple Budget'!$F$4:$F$50&gt;=A72)*('Simple Budget'!$B$4:$B$50)*(1+'Simple Budget'!$C$4:$C$50/100)^(A72-'Simple Budget'!$E$4:$E$50)),SUMPRODUCT(('Detailed Budget'!$E$3:$E$105&lt;=A72)*('Detailed Budget'!$F$3:$F$105&gt;=A72)*('Detailed Budget'!$C$3:$C$105)*12*(1+Settings!$B$9/100)^(A72-2024)))</f>
        <v>326091.26748757635</v>
      </c>
      <c r="G72" s="23">
        <v>0</v>
      </c>
      <c r="H72" s="15">
        <f t="shared" si="22"/>
        <v>-326091.26748757635</v>
      </c>
      <c r="I72" s="15">
        <f>I71*(1+IFERROR(AVERAGEIFS(Assets!$D$3:$D$51,Assets!$G$3:$G$51,"Taxable")/100,Settings!$B$11/100))+MAX(0,H72)-N72</f>
        <v>0</v>
      </c>
      <c r="J72" s="15">
        <f>J71*(1+IFERROR(AVERAGEIFS(Assets!$D$3:$D$51,Assets!$G$3:$G$51,"Pre-Tax")/100,Settings!$B$11/100))-O72</f>
        <v>10288487.884845044</v>
      </c>
      <c r="K72" s="15">
        <f>K71*(1+IFERROR(AVERAGEIFS(Assets!$D$3:$D$51,Assets!$G$3:$G$51,"Tax-Free")/100,Settings!$B$11/100))-P72</f>
        <v>3368859.739234745</v>
      </c>
      <c r="L72" s="15">
        <f t="shared" si="16"/>
        <v>13657347.62407979</v>
      </c>
      <c r="M72" s="15">
        <f t="shared" si="17"/>
        <v>326091.26748757635</v>
      </c>
      <c r="N72" s="15">
        <f>MIN(M72,I71*(1+IFERROR(AVERAGEIFS(Assets!$D$3:$D$51,Assets!$G$3:$G$51,"Taxable")/100,Settings!$B$11/100)))</f>
        <v>0</v>
      </c>
      <c r="O72" s="15">
        <f>IF(B72&gt;=59.5,MIN(M72-N72,J71*(1+IFERROR(AVERAGEIFS(Assets!$D$3:$D$51,Assets!$G$3:$G$51,"Pre-Tax")/100,Settings!$B$11/100))),0)</f>
        <v>326091.26748757635</v>
      </c>
      <c r="P72" s="15">
        <f>MIN(M72-N72-O72,K71*(1+IFERROR(AVERAGEIFS(Assets!$D$3:$D$51,Assets!$G$3:$G$51,"Tax-Free")/100,Settings!$B$11/100)))</f>
        <v>0</v>
      </c>
      <c r="Q72" s="15">
        <f t="shared" si="18"/>
        <v>0</v>
      </c>
      <c r="R72" s="15">
        <f>L72+SUMIF(Assets!$H$3:$H$51,"Real Estate",Assets!$C$3:$C$51)-SUM(Liabilities!$D$3:$D$52)</f>
        <v>13382347.62407979</v>
      </c>
      <c r="S72" s="15">
        <f>F72/(Settings!$B$10/100)</f>
        <v>8152281.6871894086</v>
      </c>
      <c r="T72" s="15">
        <f>S72/((1+Settings!$B$11/100)^MAX(0,Settings!$B$5-B72))</f>
        <v>8152281.6871894086</v>
      </c>
      <c r="U72" t="str">
        <f t="shared" si="19"/>
        <v>🔥 FI Reached</v>
      </c>
      <c r="V72" s="1">
        <f t="shared" si="20"/>
        <v>0</v>
      </c>
    </row>
    <row r="73" spans="1:22" x14ac:dyDescent="0.35">
      <c r="A73">
        <v>2094</v>
      </c>
      <c r="B73">
        <f t="shared" si="21"/>
        <v>108</v>
      </c>
      <c r="C73" s="15">
        <f>SUMPRODUCT((Income!$E$3:$E$49&lt;=A73)*(Income!$F$3:$F$49&gt;=A73)*(Income!$C$3:$C$49)*(1+Income!$D$3:$D$49/100)^(A73-Income!$E$3:$E$49))</f>
        <v>0</v>
      </c>
      <c r="D73" s="15">
        <f>C73*(Settings!$B$7/100)</f>
        <v>0</v>
      </c>
      <c r="E73" s="15">
        <f t="shared" si="15"/>
        <v>0</v>
      </c>
      <c r="F73" s="15">
        <f>IF('Simple Budget'!$B$2="Yes",SUMPRODUCT(('Simple Budget'!$E$4:$E$50&lt;=A73)*('Simple Budget'!$F$4:$F$50&gt;=A73)*('Simple Budget'!$B$4:$B$50)*(1+'Simple Budget'!$C$4:$C$50/100)^(A73-'Simple Budget'!$E$4:$E$50)),SUMPRODUCT(('Detailed Budget'!$E$3:$E$105&lt;=A73)*('Detailed Budget'!$F$3:$F$105&gt;=A73)*('Detailed Budget'!$C$3:$C$105)*12*(1+Settings!$B$9/100)^(A73-2024)))</f>
        <v>0</v>
      </c>
      <c r="G73" s="23">
        <v>0</v>
      </c>
      <c r="H73" s="15">
        <f t="shared" si="22"/>
        <v>0</v>
      </c>
      <c r="I73" s="15">
        <f>I72*(1+IFERROR(AVERAGEIFS(Assets!$D$3:$D$51,Assets!$G$3:$G$51,"Taxable")/100,Settings!$B$11/100))+MAX(0,H73)-N73</f>
        <v>0</v>
      </c>
      <c r="J73" s="15">
        <f>J72*(1+IFERROR(AVERAGEIFS(Assets!$D$3:$D$51,Assets!$G$3:$G$51,"Pre-Tax")/100,Settings!$B$11/100))-O73</f>
        <v>11008682.036784198</v>
      </c>
      <c r="K73" s="15">
        <f>K72*(1+IFERROR(AVERAGEIFS(Assets!$D$3:$D$51,Assets!$G$3:$G$51,"Tax-Free")/100,Settings!$B$11/100))-P73</f>
        <v>3503614.1288041351</v>
      </c>
      <c r="L73" s="15">
        <f t="shared" si="16"/>
        <v>14512296.165588334</v>
      </c>
      <c r="M73" s="15">
        <f t="shared" si="17"/>
        <v>0</v>
      </c>
      <c r="N73" s="15">
        <f>MIN(M73,I72*(1+IFERROR(AVERAGEIFS(Assets!$D$3:$D$51,Assets!$G$3:$G$51,"Taxable")/100,Settings!$B$11/100)))</f>
        <v>0</v>
      </c>
      <c r="O73" s="15">
        <f>IF(B73&gt;=59.5,MIN(M73-N73,J72*(1+IFERROR(AVERAGEIFS(Assets!$D$3:$D$51,Assets!$G$3:$G$51,"Pre-Tax")/100,Settings!$B$11/100))),0)</f>
        <v>0</v>
      </c>
      <c r="P73" s="15">
        <f>MIN(M73-N73-O73,K72*(1+IFERROR(AVERAGEIFS(Assets!$D$3:$D$51,Assets!$G$3:$G$51,"Tax-Free")/100,Settings!$B$11/100)))</f>
        <v>0</v>
      </c>
      <c r="Q73" s="15">
        <f t="shared" si="18"/>
        <v>0</v>
      </c>
      <c r="R73" s="15">
        <f>L73+SUMIF(Assets!$H$3:$H$51,"Real Estate",Assets!$C$3:$C$51)-SUM(Liabilities!$D$3:$D$52)</f>
        <v>14237296.165588334</v>
      </c>
      <c r="S73" s="15">
        <f>F73/(Settings!$B$10/100)</f>
        <v>0</v>
      </c>
      <c r="T73" s="15">
        <f>S73/((1+Settings!$B$11/100)^MAX(0,Settings!$B$5-B73))</f>
        <v>0</v>
      </c>
      <c r="U73" t="str">
        <f t="shared" si="19"/>
        <v>🔥 FI Reached</v>
      </c>
      <c r="V73" s="1">
        <f t="shared" si="20"/>
        <v>0</v>
      </c>
    </row>
    <row r="74" spans="1:22" x14ac:dyDescent="0.35">
      <c r="A74">
        <v>2095</v>
      </c>
      <c r="B74">
        <f t="shared" si="21"/>
        <v>109</v>
      </c>
      <c r="C74" s="15">
        <f>SUMPRODUCT((Income!$E$3:$E$49&lt;=A74)*(Income!$F$3:$F$49&gt;=A74)*(Income!$C$3:$C$49)*(1+Income!$D$3:$D$49/100)^(A74-Income!$E$3:$E$49))</f>
        <v>0</v>
      </c>
      <c r="D74" s="15">
        <f>C74*(Settings!$B$7/100)</f>
        <v>0</v>
      </c>
      <c r="E74" s="15">
        <f t="shared" si="15"/>
        <v>0</v>
      </c>
      <c r="F74" s="15">
        <f>IF('Simple Budget'!$B$2="Yes",SUMPRODUCT(('Simple Budget'!$E$4:$E$50&lt;=A74)*('Simple Budget'!$F$4:$F$50&gt;=A74)*('Simple Budget'!$B$4:$B$50)*(1+'Simple Budget'!$C$4:$C$50/100)^(A74-'Simple Budget'!$E$4:$E$50)),SUMPRODUCT(('Detailed Budget'!$E$3:$E$105&lt;=A74)*('Detailed Budget'!$F$3:$F$105&gt;=A74)*('Detailed Budget'!$C$3:$C$105)*12*(1+Settings!$B$9/100)^(A74-2024)))</f>
        <v>0</v>
      </c>
      <c r="G74" s="23">
        <v>0</v>
      </c>
      <c r="H74" s="15">
        <f t="shared" si="22"/>
        <v>0</v>
      </c>
      <c r="I74" s="15">
        <f>I73*(1+IFERROR(AVERAGEIFS(Assets!$D$3:$D$51,Assets!$G$3:$G$51,"Taxable")/100,Settings!$B$11/100))+MAX(0,H74)-N74</f>
        <v>0</v>
      </c>
      <c r="J74" s="15">
        <f>J73*(1+IFERROR(AVERAGEIFS(Assets!$D$3:$D$51,Assets!$G$3:$G$51,"Pre-Tax")/100,Settings!$B$11/100))-O74</f>
        <v>11779289.779359093</v>
      </c>
      <c r="K74" s="15">
        <f>K73*(1+IFERROR(AVERAGEIFS(Assets!$D$3:$D$51,Assets!$G$3:$G$51,"Tax-Free")/100,Settings!$B$11/100))-P74</f>
        <v>3643758.6939563006</v>
      </c>
      <c r="L74" s="15">
        <f t="shared" si="16"/>
        <v>15423048.473315394</v>
      </c>
      <c r="M74" s="15">
        <f t="shared" si="17"/>
        <v>0</v>
      </c>
      <c r="N74" s="15">
        <f>MIN(M74,I73*(1+IFERROR(AVERAGEIFS(Assets!$D$3:$D$51,Assets!$G$3:$G$51,"Taxable")/100,Settings!$B$11/100)))</f>
        <v>0</v>
      </c>
      <c r="O74" s="15">
        <f>IF(B74&gt;=59.5,MIN(M74-N74,J73*(1+IFERROR(AVERAGEIFS(Assets!$D$3:$D$51,Assets!$G$3:$G$51,"Pre-Tax")/100,Settings!$B$11/100))),0)</f>
        <v>0</v>
      </c>
      <c r="P74" s="15">
        <f>MIN(M74-N74-O74,K73*(1+IFERROR(AVERAGEIFS(Assets!$D$3:$D$51,Assets!$G$3:$G$51,"Tax-Free")/100,Settings!$B$11/100)))</f>
        <v>0</v>
      </c>
      <c r="Q74" s="15">
        <f t="shared" si="18"/>
        <v>0</v>
      </c>
      <c r="R74" s="15">
        <f>L74+SUMIF(Assets!$H$3:$H$51,"Real Estate",Assets!$C$3:$C$51)-SUM(Liabilities!$D$3:$D$52)</f>
        <v>15148048.473315394</v>
      </c>
      <c r="S74" s="15">
        <f>F74/(Settings!$B$10/100)</f>
        <v>0</v>
      </c>
      <c r="T74" s="15">
        <f>S74/((1+Settings!$B$11/100)^MAX(0,Settings!$B$5-B74))</f>
        <v>0</v>
      </c>
      <c r="U74" t="str">
        <f t="shared" si="19"/>
        <v>🔥 FI Reached</v>
      </c>
      <c r="V74" s="1">
        <f t="shared" si="20"/>
        <v>0</v>
      </c>
    </row>
    <row r="75" spans="1:22" x14ac:dyDescent="0.35">
      <c r="A75">
        <v>2096</v>
      </c>
      <c r="B75">
        <f t="shared" si="21"/>
        <v>110</v>
      </c>
      <c r="C75" s="15">
        <f>SUMPRODUCT((Income!$E$3:$E$49&lt;=A75)*(Income!$F$3:$F$49&gt;=A75)*(Income!$C$3:$C$49)*(1+Income!$D$3:$D$49/100)^(A75-Income!$E$3:$E$49))</f>
        <v>0</v>
      </c>
      <c r="D75" s="15">
        <f>C75*(Settings!$B$7/100)</f>
        <v>0</v>
      </c>
      <c r="E75" s="15">
        <f t="shared" si="15"/>
        <v>0</v>
      </c>
      <c r="F75" s="15">
        <f>IF('Simple Budget'!$B$2="Yes",SUMPRODUCT(('Simple Budget'!$E$4:$E$50&lt;=A75)*('Simple Budget'!$F$4:$F$50&gt;=A75)*('Simple Budget'!$B$4:$B$50)*(1+'Simple Budget'!$C$4:$C$50/100)^(A75-'Simple Budget'!$E$4:$E$50)),SUMPRODUCT(('Detailed Budget'!$E$3:$E$105&lt;=A75)*('Detailed Budget'!$F$3:$F$105&gt;=A75)*('Detailed Budget'!$C$3:$C$105)*12*(1+Settings!$B$9/100)^(A75-2024)))</f>
        <v>0</v>
      </c>
      <c r="G75" s="23">
        <v>0</v>
      </c>
      <c r="H75" s="15">
        <f t="shared" si="22"/>
        <v>0</v>
      </c>
      <c r="I75" s="15">
        <f>I74*(1+IFERROR(AVERAGEIFS(Assets!$D$3:$D$51,Assets!$G$3:$G$51,"Taxable")/100,Settings!$B$11/100))+MAX(0,H75)-N75</f>
        <v>0</v>
      </c>
      <c r="J75" s="15">
        <f>J74*(1+IFERROR(AVERAGEIFS(Assets!$D$3:$D$51,Assets!$G$3:$G$51,"Pre-Tax")/100,Settings!$B$11/100))-O75</f>
        <v>12603840.06391423</v>
      </c>
      <c r="K75" s="15">
        <f>K74*(1+IFERROR(AVERAGEIFS(Assets!$D$3:$D$51,Assets!$G$3:$G$51,"Tax-Free")/100,Settings!$B$11/100))-P75</f>
        <v>3789509.0417145528</v>
      </c>
      <c r="L75" s="15">
        <f t="shared" si="16"/>
        <v>16393349.105628783</v>
      </c>
      <c r="M75" s="15">
        <f t="shared" si="17"/>
        <v>0</v>
      </c>
      <c r="N75" s="15">
        <f>MIN(M75,I74*(1+IFERROR(AVERAGEIFS(Assets!$D$3:$D$51,Assets!$G$3:$G$51,"Taxable")/100,Settings!$B$11/100)))</f>
        <v>0</v>
      </c>
      <c r="O75" s="15">
        <f>IF(B75&gt;=59.5,MIN(M75-N75,J74*(1+IFERROR(AVERAGEIFS(Assets!$D$3:$D$51,Assets!$G$3:$G$51,"Pre-Tax")/100,Settings!$B$11/100))),0)</f>
        <v>0</v>
      </c>
      <c r="P75" s="15">
        <f>MIN(M75-N75-O75,K74*(1+IFERROR(AVERAGEIFS(Assets!$D$3:$D$51,Assets!$G$3:$G$51,"Tax-Free")/100,Settings!$B$11/100)))</f>
        <v>0</v>
      </c>
      <c r="Q75" s="15">
        <f t="shared" si="18"/>
        <v>0</v>
      </c>
      <c r="R75" s="15">
        <f>L75+SUMIF(Assets!$H$3:$H$51,"Real Estate",Assets!$C$3:$C$51)-SUM(Liabilities!$D$3:$D$52)</f>
        <v>16118349.105628783</v>
      </c>
      <c r="S75" s="15">
        <f>F75/(Settings!$B$10/100)</f>
        <v>0</v>
      </c>
      <c r="T75" s="15">
        <f>S75/((1+Settings!$B$11/100)^MAX(0,Settings!$B$5-B75))</f>
        <v>0</v>
      </c>
      <c r="U75" t="str">
        <f t="shared" si="19"/>
        <v>🔥 FI Reached</v>
      </c>
      <c r="V75" s="1">
        <f t="shared" si="20"/>
        <v>0</v>
      </c>
    </row>
    <row r="76" spans="1:22" x14ac:dyDescent="0.35">
      <c r="A76">
        <v>2097</v>
      </c>
      <c r="B76">
        <f t="shared" si="21"/>
        <v>111</v>
      </c>
      <c r="C76" s="15">
        <f>SUMPRODUCT((Income!$E$3:$E$49&lt;=A76)*(Income!$F$3:$F$49&gt;=A76)*(Income!$C$3:$C$49)*(1+Income!$D$3:$D$49/100)^(A76-Income!$E$3:$E$49))</f>
        <v>0</v>
      </c>
      <c r="D76" s="15">
        <f>C76*(Settings!$B$7/100)</f>
        <v>0</v>
      </c>
      <c r="E76" s="15">
        <f t="shared" si="15"/>
        <v>0</v>
      </c>
      <c r="F76" s="15">
        <f>IF('Simple Budget'!$B$2="Yes",SUMPRODUCT(('Simple Budget'!$E$4:$E$50&lt;=A76)*('Simple Budget'!$F$4:$F$50&gt;=A76)*('Simple Budget'!$B$4:$B$50)*(1+'Simple Budget'!$C$4:$C$50/100)^(A76-'Simple Budget'!$E$4:$E$50)),SUMPRODUCT(('Detailed Budget'!$E$3:$E$105&lt;=A76)*('Detailed Budget'!$F$3:$F$105&gt;=A76)*('Detailed Budget'!$C$3:$C$105)*12*(1+Settings!$B$9/100)^(A76-2024)))</f>
        <v>0</v>
      </c>
      <c r="G76" s="23">
        <v>0</v>
      </c>
      <c r="H76" s="15">
        <f t="shared" si="22"/>
        <v>0</v>
      </c>
      <c r="I76" s="15">
        <f>I75*(1+IFERROR(AVERAGEIFS(Assets!$D$3:$D$51,Assets!$G$3:$G$51,"Taxable")/100,Settings!$B$11/100))+MAX(0,H76)-N76</f>
        <v>0</v>
      </c>
      <c r="J76" s="15">
        <f>J75*(1+IFERROR(AVERAGEIFS(Assets!$D$3:$D$51,Assets!$G$3:$G$51,"Pre-Tax")/100,Settings!$B$11/100))-O76</f>
        <v>13486108.868388226</v>
      </c>
      <c r="K76" s="15">
        <f>K75*(1+IFERROR(AVERAGEIFS(Assets!$D$3:$D$51,Assets!$G$3:$G$51,"Tax-Free")/100,Settings!$B$11/100))-P76</f>
        <v>3941089.4033831349</v>
      </c>
      <c r="L76" s="15">
        <f t="shared" si="16"/>
        <v>17427198.27177136</v>
      </c>
      <c r="M76" s="15">
        <f t="shared" si="17"/>
        <v>0</v>
      </c>
      <c r="N76" s="15">
        <f>MIN(M76,I75*(1+IFERROR(AVERAGEIFS(Assets!$D$3:$D$51,Assets!$G$3:$G$51,"Taxable")/100,Settings!$B$11/100)))</f>
        <v>0</v>
      </c>
      <c r="O76" s="15">
        <f>IF(B76&gt;=59.5,MIN(M76-N76,J75*(1+IFERROR(AVERAGEIFS(Assets!$D$3:$D$51,Assets!$G$3:$G$51,"Pre-Tax")/100,Settings!$B$11/100))),0)</f>
        <v>0</v>
      </c>
      <c r="P76" s="15">
        <f>MIN(M76-N76-O76,K75*(1+IFERROR(AVERAGEIFS(Assets!$D$3:$D$51,Assets!$G$3:$G$51,"Tax-Free")/100,Settings!$B$11/100)))</f>
        <v>0</v>
      </c>
      <c r="Q76" s="15">
        <f t="shared" si="18"/>
        <v>0</v>
      </c>
      <c r="R76" s="15">
        <f>L76+SUMIF(Assets!$H$3:$H$51,"Real Estate",Assets!$C$3:$C$51)-SUM(Liabilities!$D$3:$D$52)</f>
        <v>17152198.27177136</v>
      </c>
      <c r="S76" s="15">
        <f>F76/(Settings!$B$10/100)</f>
        <v>0</v>
      </c>
      <c r="T76" s="15">
        <f>S76/((1+Settings!$B$11/100)^MAX(0,Settings!$B$5-B76))</f>
        <v>0</v>
      </c>
      <c r="U76" t="str">
        <f t="shared" si="19"/>
        <v>🔥 FI Reached</v>
      </c>
      <c r="V76" s="1">
        <f t="shared" si="20"/>
        <v>0</v>
      </c>
    </row>
    <row r="77" spans="1:22" x14ac:dyDescent="0.35">
      <c r="A77">
        <v>2098</v>
      </c>
      <c r="B77">
        <f t="shared" si="21"/>
        <v>112</v>
      </c>
      <c r="C77" s="15">
        <f>SUMPRODUCT((Income!$E$3:$E$49&lt;=A77)*(Income!$F$3:$F$49&gt;=A77)*(Income!$C$3:$C$49)*(1+Income!$D$3:$D$49/100)^(A77-Income!$E$3:$E$49))</f>
        <v>0</v>
      </c>
      <c r="D77" s="15">
        <f>C77*(Settings!$B$7/100)</f>
        <v>0</v>
      </c>
      <c r="E77" s="15">
        <f t="shared" si="15"/>
        <v>0</v>
      </c>
      <c r="F77" s="15">
        <f>IF('Simple Budget'!$B$2="Yes",SUMPRODUCT(('Simple Budget'!$E$4:$E$50&lt;=A77)*('Simple Budget'!$F$4:$F$50&gt;=A77)*('Simple Budget'!$B$4:$B$50)*(1+'Simple Budget'!$C$4:$C$50/100)^(A77-'Simple Budget'!$E$4:$E$50)),SUMPRODUCT(('Detailed Budget'!$E$3:$E$105&lt;=A77)*('Detailed Budget'!$F$3:$F$105&gt;=A77)*('Detailed Budget'!$C$3:$C$105)*12*(1+Settings!$B$9/100)^(A77-2024)))</f>
        <v>0</v>
      </c>
      <c r="G77" s="23">
        <v>0</v>
      </c>
      <c r="H77" s="15">
        <f t="shared" si="22"/>
        <v>0</v>
      </c>
      <c r="I77" s="15">
        <f>I76*(1+IFERROR(AVERAGEIFS(Assets!$D$3:$D$51,Assets!$G$3:$G$51,"Taxable")/100,Settings!$B$11/100))+MAX(0,H77)-N77</f>
        <v>0</v>
      </c>
      <c r="J77" s="15">
        <f>J76*(1+IFERROR(AVERAGEIFS(Assets!$D$3:$D$51,Assets!$G$3:$G$51,"Pre-Tax")/100,Settings!$B$11/100))-O77</f>
        <v>14430136.489175403</v>
      </c>
      <c r="K77" s="15">
        <f>K76*(1+IFERROR(AVERAGEIFS(Assets!$D$3:$D$51,Assets!$G$3:$G$51,"Tax-Free")/100,Settings!$B$11/100))-P77</f>
        <v>4098732.9795184606</v>
      </c>
      <c r="L77" s="15">
        <f t="shared" si="16"/>
        <v>18528869.468693864</v>
      </c>
      <c r="M77" s="15">
        <f t="shared" si="17"/>
        <v>0</v>
      </c>
      <c r="N77" s="15">
        <f>MIN(M77,I76*(1+IFERROR(AVERAGEIFS(Assets!$D$3:$D$51,Assets!$G$3:$G$51,"Taxable")/100,Settings!$B$11/100)))</f>
        <v>0</v>
      </c>
      <c r="O77" s="15">
        <f>IF(B77&gt;=59.5,MIN(M77-N77,J76*(1+IFERROR(AVERAGEIFS(Assets!$D$3:$D$51,Assets!$G$3:$G$51,"Pre-Tax")/100,Settings!$B$11/100))),0)</f>
        <v>0</v>
      </c>
      <c r="P77" s="15">
        <f>MIN(M77-N77-O77,K76*(1+IFERROR(AVERAGEIFS(Assets!$D$3:$D$51,Assets!$G$3:$G$51,"Tax-Free")/100,Settings!$B$11/100)))</f>
        <v>0</v>
      </c>
      <c r="Q77" s="15">
        <f t="shared" si="18"/>
        <v>0</v>
      </c>
      <c r="R77" s="15">
        <f>L77+SUMIF(Assets!$H$3:$H$51,"Real Estate",Assets!$C$3:$C$51)-SUM(Liabilities!$D$3:$D$52)</f>
        <v>18253869.468693864</v>
      </c>
      <c r="S77" s="15">
        <f>F77/(Settings!$B$10/100)</f>
        <v>0</v>
      </c>
      <c r="T77" s="15">
        <f>S77/((1+Settings!$B$11/100)^MAX(0,Settings!$B$5-B77))</f>
        <v>0</v>
      </c>
      <c r="U77" t="str">
        <f t="shared" si="19"/>
        <v>🔥 FI Reached</v>
      </c>
      <c r="V77" s="1">
        <f t="shared" si="20"/>
        <v>0</v>
      </c>
    </row>
    <row r="78" spans="1:22" x14ac:dyDescent="0.35">
      <c r="A78">
        <v>2099</v>
      </c>
      <c r="B78">
        <f t="shared" si="21"/>
        <v>113</v>
      </c>
      <c r="C78" s="15">
        <f>SUMPRODUCT((Income!$E$3:$E$49&lt;=A78)*(Income!$F$3:$F$49&gt;=A78)*(Income!$C$3:$C$49)*(1+Income!$D$3:$D$49/100)^(A78-Income!$E$3:$E$49))</f>
        <v>0</v>
      </c>
      <c r="D78" s="15">
        <f>C78*(Settings!$B$7/100)</f>
        <v>0</v>
      </c>
      <c r="E78" s="15">
        <f t="shared" si="15"/>
        <v>0</v>
      </c>
      <c r="F78" s="15">
        <f>IF('Simple Budget'!$B$2="Yes",SUMPRODUCT(('Simple Budget'!$E$4:$E$50&lt;=A78)*('Simple Budget'!$F$4:$F$50&gt;=A78)*('Simple Budget'!$B$4:$B$50)*(1+'Simple Budget'!$C$4:$C$50/100)^(A78-'Simple Budget'!$E$4:$E$50)),SUMPRODUCT(('Detailed Budget'!$E$3:$E$105&lt;=A78)*('Detailed Budget'!$F$3:$F$105&gt;=A78)*('Detailed Budget'!$C$3:$C$105)*12*(1+Settings!$B$9/100)^(A78-2024)))</f>
        <v>0</v>
      </c>
      <c r="G78" s="23">
        <v>0</v>
      </c>
      <c r="H78" s="15">
        <f t="shared" si="22"/>
        <v>0</v>
      </c>
      <c r="I78" s="15">
        <f>I77*(1+IFERROR(AVERAGEIFS(Assets!$D$3:$D$51,Assets!$G$3:$G$51,"Taxable")/100,Settings!$B$11/100))+MAX(0,H78)-N78</f>
        <v>0</v>
      </c>
      <c r="J78" s="15">
        <f>J77*(1+IFERROR(AVERAGEIFS(Assets!$D$3:$D$51,Assets!$G$3:$G$51,"Pre-Tax")/100,Settings!$B$11/100))-O78</f>
        <v>15440246.043417683</v>
      </c>
      <c r="K78" s="15">
        <f>K77*(1+IFERROR(AVERAGEIFS(Assets!$D$3:$D$51,Assets!$G$3:$G$51,"Tax-Free")/100,Settings!$B$11/100))-P78</f>
        <v>4262682.2986991992</v>
      </c>
      <c r="L78" s="15">
        <f t="shared" si="16"/>
        <v>19702928.342116881</v>
      </c>
      <c r="M78" s="15">
        <f t="shared" si="17"/>
        <v>0</v>
      </c>
      <c r="N78" s="15">
        <f>MIN(M78,I77*(1+IFERROR(AVERAGEIFS(Assets!$D$3:$D$51,Assets!$G$3:$G$51,"Taxable")/100,Settings!$B$11/100)))</f>
        <v>0</v>
      </c>
      <c r="O78" s="15">
        <f>IF(B78&gt;=59.5,MIN(M78-N78,J77*(1+IFERROR(AVERAGEIFS(Assets!$D$3:$D$51,Assets!$G$3:$G$51,"Pre-Tax")/100,Settings!$B$11/100))),0)</f>
        <v>0</v>
      </c>
      <c r="P78" s="15">
        <f>MIN(M78-N78-O78,K77*(1+IFERROR(AVERAGEIFS(Assets!$D$3:$D$51,Assets!$G$3:$G$51,"Tax-Free")/100,Settings!$B$11/100)))</f>
        <v>0</v>
      </c>
      <c r="Q78" s="15">
        <f t="shared" si="18"/>
        <v>0</v>
      </c>
      <c r="R78" s="15">
        <f>L78+SUMIF(Assets!$H$3:$H$51,"Real Estate",Assets!$C$3:$C$51)-SUM(Liabilities!$D$3:$D$52)</f>
        <v>19427928.342116881</v>
      </c>
      <c r="S78" s="15">
        <f>F78/(Settings!$B$10/100)</f>
        <v>0</v>
      </c>
      <c r="T78" s="15">
        <f>S78/((1+Settings!$B$11/100)^MAX(0,Settings!$B$5-B78))</f>
        <v>0</v>
      </c>
      <c r="U78" t="str">
        <f t="shared" si="19"/>
        <v>🔥 FI Reached</v>
      </c>
      <c r="V78" s="1">
        <f t="shared" si="20"/>
        <v>0</v>
      </c>
    </row>
    <row r="79" spans="1:22" x14ac:dyDescent="0.35">
      <c r="A79">
        <v>2100</v>
      </c>
      <c r="B79">
        <f t="shared" si="21"/>
        <v>114</v>
      </c>
      <c r="C79" s="15">
        <f>SUMPRODUCT((Income!$E$3:$E$49&lt;=A79)*(Income!$F$3:$F$49&gt;=A79)*(Income!$C$3:$C$49)*(1+Income!$D$3:$D$49/100)^(A79-Income!$E$3:$E$49))</f>
        <v>0</v>
      </c>
      <c r="D79" s="15">
        <f>C79*(Settings!$B$7/100)</f>
        <v>0</v>
      </c>
      <c r="E79" s="15">
        <f t="shared" si="15"/>
        <v>0</v>
      </c>
      <c r="F79" s="15">
        <f>IF('Simple Budget'!$B$2="Yes",SUMPRODUCT(('Simple Budget'!$E$4:$E$50&lt;=A79)*('Simple Budget'!$F$4:$F$50&gt;=A79)*('Simple Budget'!$B$4:$B$50)*(1+'Simple Budget'!$C$4:$C$50/100)^(A79-'Simple Budget'!$E$4:$E$50)),SUMPRODUCT(('Detailed Budget'!$E$3:$E$105&lt;=A79)*('Detailed Budget'!$F$3:$F$105&gt;=A79)*('Detailed Budget'!$C$3:$C$105)*12*(1+Settings!$B$9/100)^(A79-2024)))</f>
        <v>0</v>
      </c>
      <c r="G79" s="23">
        <v>0</v>
      </c>
      <c r="H79" s="15">
        <f t="shared" si="22"/>
        <v>0</v>
      </c>
      <c r="I79" s="15">
        <f>I78*(1+IFERROR(AVERAGEIFS(Assets!$D$3:$D$51,Assets!$G$3:$G$51,"Taxable")/100,Settings!$B$11/100))+MAX(0,H79)-N79</f>
        <v>0</v>
      </c>
      <c r="J79" s="15">
        <f>J78*(1+IFERROR(AVERAGEIFS(Assets!$D$3:$D$51,Assets!$G$3:$G$51,"Pre-Tax")/100,Settings!$B$11/100))-O79</f>
        <v>16521063.266456923</v>
      </c>
      <c r="K79" s="15">
        <f>K78*(1+IFERROR(AVERAGEIFS(Assets!$D$3:$D$51,Assets!$G$3:$G$51,"Tax-Free")/100,Settings!$B$11/100))-P79</f>
        <v>4433189.5906471675</v>
      </c>
      <c r="L79" s="15">
        <f t="shared" si="16"/>
        <v>20954252.857104089</v>
      </c>
      <c r="M79" s="15">
        <f t="shared" si="17"/>
        <v>0</v>
      </c>
      <c r="N79" s="15">
        <f>MIN(M79,I78*(1+IFERROR(AVERAGEIFS(Assets!$D$3:$D$51,Assets!$G$3:$G$51,"Taxable")/100,Settings!$B$11/100)))</f>
        <v>0</v>
      </c>
      <c r="O79" s="15">
        <f>IF(B79&gt;=59.5,MIN(M79-N79,J78*(1+IFERROR(AVERAGEIFS(Assets!$D$3:$D$51,Assets!$G$3:$G$51,"Pre-Tax")/100,Settings!$B$11/100))),0)</f>
        <v>0</v>
      </c>
      <c r="P79" s="15">
        <f>MIN(M79-N79-O79,K78*(1+IFERROR(AVERAGEIFS(Assets!$D$3:$D$51,Assets!$G$3:$G$51,"Tax-Free")/100,Settings!$B$11/100)))</f>
        <v>0</v>
      </c>
      <c r="Q79" s="15">
        <f t="shared" si="18"/>
        <v>0</v>
      </c>
      <c r="R79" s="15">
        <f>L79+SUMIF(Assets!$H$3:$H$51,"Real Estate",Assets!$C$3:$C$51)-SUM(Liabilities!$D$3:$D$52)</f>
        <v>20679252.857104089</v>
      </c>
      <c r="S79" s="15">
        <f>F79/(Settings!$B$10/100)</f>
        <v>0</v>
      </c>
      <c r="T79" s="15">
        <f>S79/((1+Settings!$B$11/100)^MAX(0,Settings!$B$5-B79))</f>
        <v>0</v>
      </c>
      <c r="U79" t="str">
        <f t="shared" si="19"/>
        <v>🔥 FI Reached</v>
      </c>
      <c r="V79" s="1">
        <f t="shared" si="20"/>
        <v>0</v>
      </c>
    </row>
    <row r="80" spans="1:22" x14ac:dyDescent="0.35">
      <c r="A80">
        <v>2101</v>
      </c>
      <c r="B80">
        <f t="shared" si="21"/>
        <v>115</v>
      </c>
      <c r="C80" s="15">
        <f>SUMPRODUCT((Income!$E$3:$E$49&lt;=A80)*(Income!$F$3:$F$49&gt;=A80)*(Income!$C$3:$C$49)*(1+Income!$D$3:$D$49/100)^(A80-Income!$E$3:$E$49))</f>
        <v>0</v>
      </c>
      <c r="D80" s="15">
        <f>C80*(Settings!$B$7/100)</f>
        <v>0</v>
      </c>
      <c r="E80" s="15">
        <f t="shared" si="15"/>
        <v>0</v>
      </c>
      <c r="F80" s="15">
        <f>IF('Simple Budget'!$B$2="Yes",SUMPRODUCT(('Simple Budget'!$E$4:$E$50&lt;=A80)*('Simple Budget'!$F$4:$F$50&gt;=A80)*('Simple Budget'!$B$4:$B$50)*(1+'Simple Budget'!$C$4:$C$50/100)^(A80-'Simple Budget'!$E$4:$E$50)),SUMPRODUCT(('Detailed Budget'!$E$3:$E$105&lt;=A80)*('Detailed Budget'!$F$3:$F$105&gt;=A80)*('Detailed Budget'!$C$3:$C$105)*12*(1+Settings!$B$9/100)^(A80-2024)))</f>
        <v>0</v>
      </c>
      <c r="G80" s="23">
        <v>0</v>
      </c>
      <c r="H80" s="15">
        <f t="shared" si="22"/>
        <v>0</v>
      </c>
      <c r="I80" s="15">
        <f>I79*(1+IFERROR(AVERAGEIFS(Assets!$D$3:$D$51,Assets!$G$3:$G$51,"Taxable")/100,Settings!$B$11/100))+MAX(0,H80)-N80</f>
        <v>0</v>
      </c>
      <c r="J80" s="15">
        <f>J79*(1+IFERROR(AVERAGEIFS(Assets!$D$3:$D$51,Assets!$G$3:$G$51,"Pre-Tax")/100,Settings!$B$11/100))-O80</f>
        <v>17677537.695108909</v>
      </c>
      <c r="K80" s="15">
        <f>K79*(1+IFERROR(AVERAGEIFS(Assets!$D$3:$D$51,Assets!$G$3:$G$51,"Tax-Free")/100,Settings!$B$11/100))-P80</f>
        <v>4610517.1742730541</v>
      </c>
      <c r="L80" s="15">
        <f t="shared" si="16"/>
        <v>22288054.869381964</v>
      </c>
      <c r="M80" s="15">
        <f t="shared" si="17"/>
        <v>0</v>
      </c>
      <c r="N80" s="15">
        <f>MIN(M80,I79*(1+IFERROR(AVERAGEIFS(Assets!$D$3:$D$51,Assets!$G$3:$G$51,"Taxable")/100,Settings!$B$11/100)))</f>
        <v>0</v>
      </c>
      <c r="O80" s="15">
        <f>IF(B80&gt;=59.5,MIN(M80-N80,J79*(1+IFERROR(AVERAGEIFS(Assets!$D$3:$D$51,Assets!$G$3:$G$51,"Pre-Tax")/100,Settings!$B$11/100))),0)</f>
        <v>0</v>
      </c>
      <c r="P80" s="15">
        <f>MIN(M80-N80-O80,K79*(1+IFERROR(AVERAGEIFS(Assets!$D$3:$D$51,Assets!$G$3:$G$51,"Tax-Free")/100,Settings!$B$11/100)))</f>
        <v>0</v>
      </c>
      <c r="Q80" s="15">
        <f t="shared" si="18"/>
        <v>0</v>
      </c>
      <c r="R80" s="15">
        <f>L80+SUMIF(Assets!$H$3:$H$51,"Real Estate",Assets!$C$3:$C$51)-SUM(Liabilities!$D$3:$D$52)</f>
        <v>22013054.869381964</v>
      </c>
      <c r="S80" s="15">
        <f>F80/(Settings!$B$10/100)</f>
        <v>0</v>
      </c>
      <c r="T80" s="15">
        <f>S80/((1+Settings!$B$11/100)^MAX(0,Settings!$B$5-B80))</f>
        <v>0</v>
      </c>
      <c r="U80" t="str">
        <f t="shared" si="19"/>
        <v>🔥 FI Reached</v>
      </c>
      <c r="V80" s="1">
        <f t="shared" si="20"/>
        <v>0</v>
      </c>
    </row>
    <row r="81" spans="1:22" x14ac:dyDescent="0.35">
      <c r="A81">
        <v>2102</v>
      </c>
      <c r="B81">
        <f t="shared" si="21"/>
        <v>116</v>
      </c>
      <c r="C81" s="15">
        <f>SUMPRODUCT((Income!$E$3:$E$49&lt;=A81)*(Income!$F$3:$F$49&gt;=A81)*(Income!$C$3:$C$49)*(1+Income!$D$3:$D$49/100)^(A81-Income!$E$3:$E$49))</f>
        <v>0</v>
      </c>
      <c r="D81" s="15">
        <f>C81*(Settings!$B$7/100)</f>
        <v>0</v>
      </c>
      <c r="E81" s="15">
        <f t="shared" si="15"/>
        <v>0</v>
      </c>
      <c r="F81" s="15">
        <f>IF('Simple Budget'!$B$2="Yes",SUMPRODUCT(('Simple Budget'!$E$4:$E$50&lt;=A81)*('Simple Budget'!$F$4:$F$50&gt;=A81)*('Simple Budget'!$B$4:$B$50)*(1+'Simple Budget'!$C$4:$C$50/100)^(A81-'Simple Budget'!$E$4:$E$50)),SUMPRODUCT(('Detailed Budget'!$E$3:$E$105&lt;=A81)*('Detailed Budget'!$F$3:$F$105&gt;=A81)*('Detailed Budget'!$C$3:$C$105)*12*(1+Settings!$B$9/100)^(A81-2024)))</f>
        <v>0</v>
      </c>
      <c r="G81" s="23">
        <v>0</v>
      </c>
      <c r="H81" s="15">
        <f t="shared" si="22"/>
        <v>0</v>
      </c>
      <c r="I81" s="15">
        <f>I80*(1+IFERROR(AVERAGEIFS(Assets!$D$3:$D$51,Assets!$G$3:$G$51,"Taxable")/100,Settings!$B$11/100))+MAX(0,H81)-N81</f>
        <v>0</v>
      </c>
      <c r="J81" s="15">
        <f>J80*(1+IFERROR(AVERAGEIFS(Assets!$D$3:$D$51,Assets!$G$3:$G$51,"Pre-Tax")/100,Settings!$B$11/100))-O81</f>
        <v>18914965.333766535</v>
      </c>
      <c r="K81" s="15">
        <f>K80*(1+IFERROR(AVERAGEIFS(Assets!$D$3:$D$51,Assets!$G$3:$G$51,"Tax-Free")/100,Settings!$B$11/100))-P81</f>
        <v>4794937.8612439763</v>
      </c>
      <c r="L81" s="15">
        <f t="shared" si="16"/>
        <v>23709903.195010513</v>
      </c>
      <c r="M81" s="15">
        <f t="shared" si="17"/>
        <v>0</v>
      </c>
      <c r="N81" s="15">
        <f>MIN(M81,I80*(1+IFERROR(AVERAGEIFS(Assets!$D$3:$D$51,Assets!$G$3:$G$51,"Taxable")/100,Settings!$B$11/100)))</f>
        <v>0</v>
      </c>
      <c r="O81" s="15">
        <f>IF(B81&gt;=59.5,MIN(M81-N81,J80*(1+IFERROR(AVERAGEIFS(Assets!$D$3:$D$51,Assets!$G$3:$G$51,"Pre-Tax")/100,Settings!$B$11/100))),0)</f>
        <v>0</v>
      </c>
      <c r="P81" s="15">
        <f>MIN(M81-N81-O81,K80*(1+IFERROR(AVERAGEIFS(Assets!$D$3:$D$51,Assets!$G$3:$G$51,"Tax-Free")/100,Settings!$B$11/100)))</f>
        <v>0</v>
      </c>
      <c r="Q81" s="15">
        <f t="shared" si="18"/>
        <v>0</v>
      </c>
      <c r="R81" s="15">
        <f>L81+SUMIF(Assets!$H$3:$H$51,"Real Estate",Assets!$C$3:$C$51)-SUM(Liabilities!$D$3:$D$52)</f>
        <v>23434903.195010513</v>
      </c>
      <c r="S81" s="15">
        <f>F81/(Settings!$B$10/100)</f>
        <v>0</v>
      </c>
      <c r="T81" s="15">
        <f>S81/((1+Settings!$B$11/100)^MAX(0,Settings!$B$5-B81))</f>
        <v>0</v>
      </c>
      <c r="U81" t="str">
        <f t="shared" si="19"/>
        <v>🔥 FI Reached</v>
      </c>
      <c r="V81" s="1">
        <f t="shared" si="20"/>
        <v>0</v>
      </c>
    </row>
    <row r="82" spans="1:22" x14ac:dyDescent="0.35">
      <c r="A82">
        <v>2103</v>
      </c>
      <c r="B82">
        <f t="shared" si="21"/>
        <v>117</v>
      </c>
      <c r="C82" s="15">
        <f>SUMPRODUCT((Income!$E$3:$E$49&lt;=A82)*(Income!$F$3:$F$49&gt;=A82)*(Income!$C$3:$C$49)*(1+Income!$D$3:$D$49/100)^(A82-Income!$E$3:$E$49))</f>
        <v>0</v>
      </c>
      <c r="D82" s="15">
        <f>C82*(Settings!$B$7/100)</f>
        <v>0</v>
      </c>
      <c r="E82" s="15">
        <f t="shared" si="15"/>
        <v>0</v>
      </c>
      <c r="F82" s="15">
        <f>IF('Simple Budget'!$B$2="Yes",SUMPRODUCT(('Simple Budget'!$E$4:$E$50&lt;=A82)*('Simple Budget'!$F$4:$F$50&gt;=A82)*('Simple Budget'!$B$4:$B$50)*(1+'Simple Budget'!$C$4:$C$50/100)^(A82-'Simple Budget'!$E$4:$E$50)),SUMPRODUCT(('Detailed Budget'!$E$3:$E$105&lt;=A82)*('Detailed Budget'!$F$3:$F$105&gt;=A82)*('Detailed Budget'!$C$3:$C$105)*12*(1+Settings!$B$9/100)^(A82-2024)))</f>
        <v>0</v>
      </c>
      <c r="G82" s="23">
        <v>0</v>
      </c>
      <c r="H82" s="15">
        <f t="shared" si="22"/>
        <v>0</v>
      </c>
      <c r="I82" s="15">
        <f>I81*(1+IFERROR(AVERAGEIFS(Assets!$D$3:$D$51,Assets!$G$3:$G$51,"Taxable")/100,Settings!$B$11/100))+MAX(0,H82)-N82</f>
        <v>0</v>
      </c>
      <c r="J82" s="15">
        <f>J81*(1+IFERROR(AVERAGEIFS(Assets!$D$3:$D$51,Assets!$G$3:$G$51,"Pre-Tax")/100,Settings!$B$11/100))-O82</f>
        <v>20239012.907130193</v>
      </c>
      <c r="K82" s="15">
        <f>K81*(1+IFERROR(AVERAGEIFS(Assets!$D$3:$D$51,Assets!$G$3:$G$51,"Tax-Free")/100,Settings!$B$11/100))-P82</f>
        <v>4986735.3756937357</v>
      </c>
      <c r="L82" s="15">
        <f t="shared" si="16"/>
        <v>25225748.282823928</v>
      </c>
      <c r="M82" s="15">
        <f t="shared" si="17"/>
        <v>0</v>
      </c>
      <c r="N82" s="15">
        <f>MIN(M82,I81*(1+IFERROR(AVERAGEIFS(Assets!$D$3:$D$51,Assets!$G$3:$G$51,"Taxable")/100,Settings!$B$11/100)))</f>
        <v>0</v>
      </c>
      <c r="O82" s="15">
        <f>IF(B82&gt;=59.5,MIN(M82-N82,J81*(1+IFERROR(AVERAGEIFS(Assets!$D$3:$D$51,Assets!$G$3:$G$51,"Pre-Tax")/100,Settings!$B$11/100))),0)</f>
        <v>0</v>
      </c>
      <c r="P82" s="15">
        <f>MIN(M82-N82-O82,K81*(1+IFERROR(AVERAGEIFS(Assets!$D$3:$D$51,Assets!$G$3:$G$51,"Tax-Free")/100,Settings!$B$11/100)))</f>
        <v>0</v>
      </c>
      <c r="Q82" s="15">
        <f t="shared" si="18"/>
        <v>0</v>
      </c>
      <c r="R82" s="15">
        <f>L82+SUMIF(Assets!$H$3:$H$51,"Real Estate",Assets!$C$3:$C$51)-SUM(Liabilities!$D$3:$D$52)</f>
        <v>24950748.282823928</v>
      </c>
      <c r="S82" s="15">
        <f>F82/(Settings!$B$10/100)</f>
        <v>0</v>
      </c>
      <c r="T82" s="15">
        <f>S82/((1+Settings!$B$11/100)^MAX(0,Settings!$B$5-B82))</f>
        <v>0</v>
      </c>
      <c r="U82" t="str">
        <f t="shared" si="19"/>
        <v>🔥 FI Reached</v>
      </c>
      <c r="V82" s="1">
        <f t="shared" si="20"/>
        <v>0</v>
      </c>
    </row>
    <row r="83" spans="1:22" x14ac:dyDescent="0.35">
      <c r="A83">
        <v>2104</v>
      </c>
      <c r="B83">
        <f t="shared" si="21"/>
        <v>118</v>
      </c>
      <c r="C83" s="15">
        <f>SUMPRODUCT((Income!$E$3:$E$49&lt;=A83)*(Income!$F$3:$F$49&gt;=A83)*(Income!$C$3:$C$49)*(1+Income!$D$3:$D$49/100)^(A83-Income!$E$3:$E$49))</f>
        <v>0</v>
      </c>
      <c r="D83" s="15">
        <f>C83*(Settings!$B$7/100)</f>
        <v>0</v>
      </c>
      <c r="E83" s="15">
        <f t="shared" si="15"/>
        <v>0</v>
      </c>
      <c r="F83" s="15">
        <f>IF('Simple Budget'!$B$2="Yes",SUMPRODUCT(('Simple Budget'!$E$4:$E$50&lt;=A83)*('Simple Budget'!$F$4:$F$50&gt;=A83)*('Simple Budget'!$B$4:$B$50)*(1+'Simple Budget'!$C$4:$C$50/100)^(A83-'Simple Budget'!$E$4:$E$50)),SUMPRODUCT(('Detailed Budget'!$E$3:$E$105&lt;=A83)*('Detailed Budget'!$F$3:$F$105&gt;=A83)*('Detailed Budget'!$C$3:$C$105)*12*(1+Settings!$B$9/100)^(A83-2024)))</f>
        <v>0</v>
      </c>
      <c r="G83" s="23">
        <v>0</v>
      </c>
      <c r="H83" s="15">
        <f t="shared" si="22"/>
        <v>0</v>
      </c>
      <c r="I83" s="15">
        <f>I82*(1+IFERROR(AVERAGEIFS(Assets!$D$3:$D$51,Assets!$G$3:$G$51,"Taxable")/100,Settings!$B$11/100))+MAX(0,H83)-N83</f>
        <v>0</v>
      </c>
      <c r="J83" s="15">
        <f>J82*(1+IFERROR(AVERAGEIFS(Assets!$D$3:$D$51,Assets!$G$3:$G$51,"Pre-Tax")/100,Settings!$B$11/100))-O83</f>
        <v>21655743.810629308</v>
      </c>
      <c r="K83" s="15">
        <f>K82*(1+IFERROR(AVERAGEIFS(Assets!$D$3:$D$51,Assets!$G$3:$G$51,"Tax-Free")/100,Settings!$B$11/100))-P83</f>
        <v>5186204.7907214854</v>
      </c>
      <c r="L83" s="15">
        <f t="shared" si="16"/>
        <v>26841948.601350792</v>
      </c>
      <c r="M83" s="15">
        <f t="shared" si="17"/>
        <v>0</v>
      </c>
      <c r="N83" s="15">
        <f>MIN(M83,I82*(1+IFERROR(AVERAGEIFS(Assets!$D$3:$D$51,Assets!$G$3:$G$51,"Taxable")/100,Settings!$B$11/100)))</f>
        <v>0</v>
      </c>
      <c r="O83" s="15">
        <f>IF(B83&gt;=59.5,MIN(M83-N83,J82*(1+IFERROR(AVERAGEIFS(Assets!$D$3:$D$51,Assets!$G$3:$G$51,"Pre-Tax")/100,Settings!$B$11/100))),0)</f>
        <v>0</v>
      </c>
      <c r="P83" s="15">
        <f>MIN(M83-N83-O83,K82*(1+IFERROR(AVERAGEIFS(Assets!$D$3:$D$51,Assets!$G$3:$G$51,"Tax-Free")/100,Settings!$B$11/100)))</f>
        <v>0</v>
      </c>
      <c r="Q83" s="15">
        <f t="shared" si="18"/>
        <v>0</v>
      </c>
      <c r="R83" s="15">
        <f>L83+SUMIF(Assets!$H$3:$H$51,"Real Estate",Assets!$C$3:$C$51)-SUM(Liabilities!$D$3:$D$52)</f>
        <v>26566948.601350792</v>
      </c>
      <c r="S83" s="15">
        <f>F83/(Settings!$B$10/100)</f>
        <v>0</v>
      </c>
      <c r="T83" s="15">
        <f>S83/((1+Settings!$B$11/100)^MAX(0,Settings!$B$5-B83))</f>
        <v>0</v>
      </c>
      <c r="U83" t="str">
        <f t="shared" si="19"/>
        <v>🔥 FI Reached</v>
      </c>
      <c r="V83" s="1">
        <f t="shared" si="20"/>
        <v>0</v>
      </c>
    </row>
  </sheetData>
  <autoFilter ref="A2:V2" xr:uid="{00000000-0009-0000-0000-000003000000}"/>
  <mergeCells count="1">
    <mergeCell ref="A1:V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
  <sheetViews>
    <sheetView workbookViewId="0">
      <pane ySplit="2" topLeftCell="A3" activePane="bottomLeft" state="frozen"/>
      <selection pane="bottomLeft" activeCell="I8" sqref="I8"/>
    </sheetView>
  </sheetViews>
  <sheetFormatPr defaultRowHeight="14.5" x14ac:dyDescent="0.35"/>
  <cols>
    <col min="1" max="1" width="7.1796875" bestFit="1" customWidth="1"/>
    <col min="2" max="2" width="11.7265625" bestFit="1" customWidth="1"/>
    <col min="3" max="3" width="20" style="15" bestFit="1" customWidth="1"/>
    <col min="4" max="4" width="19.453125" bestFit="1" customWidth="1"/>
    <col min="5" max="5" width="25.7265625" bestFit="1" customWidth="1"/>
    <col min="6" max="6" width="24.26953125" bestFit="1" customWidth="1"/>
    <col min="7" max="7" width="12.81640625" bestFit="1" customWidth="1"/>
    <col min="8" max="8" width="14.54296875" bestFit="1" customWidth="1"/>
    <col min="9" max="9" width="20.1796875" bestFit="1" customWidth="1"/>
  </cols>
  <sheetData>
    <row r="1" spans="1:9" ht="24.5" customHeight="1" x14ac:dyDescent="0.35">
      <c r="A1" s="48" t="s">
        <v>106</v>
      </c>
      <c r="B1" s="25"/>
      <c r="C1" s="49"/>
      <c r="D1" s="25"/>
      <c r="E1" s="25"/>
      <c r="F1" s="25"/>
      <c r="G1" s="25"/>
      <c r="H1" s="25"/>
      <c r="I1" s="25"/>
    </row>
    <row r="2" spans="1:9" x14ac:dyDescent="0.35">
      <c r="A2" s="11" t="s">
        <v>107</v>
      </c>
      <c r="B2" s="11" t="s">
        <v>108</v>
      </c>
      <c r="C2" s="16" t="s">
        <v>109</v>
      </c>
      <c r="D2" s="11" t="s">
        <v>110</v>
      </c>
      <c r="E2" s="11" t="s">
        <v>111</v>
      </c>
      <c r="F2" s="11" t="s">
        <v>112</v>
      </c>
      <c r="G2" s="11" t="s">
        <v>113</v>
      </c>
      <c r="H2" s="11" t="s">
        <v>114</v>
      </c>
      <c r="I2" s="11" t="s">
        <v>115</v>
      </c>
    </row>
    <row r="3" spans="1:9" x14ac:dyDescent="0.35">
      <c r="A3">
        <v>1</v>
      </c>
      <c r="B3" t="s">
        <v>116</v>
      </c>
      <c r="C3" s="15">
        <v>75000</v>
      </c>
      <c r="D3">
        <v>5</v>
      </c>
      <c r="E3">
        <v>0</v>
      </c>
      <c r="F3">
        <v>50</v>
      </c>
      <c r="G3" t="s">
        <v>117</v>
      </c>
      <c r="H3" t="s">
        <v>118</v>
      </c>
      <c r="I3">
        <v>0</v>
      </c>
    </row>
    <row r="4" spans="1:9" x14ac:dyDescent="0.35">
      <c r="A4">
        <v>2</v>
      </c>
      <c r="B4" t="s">
        <v>119</v>
      </c>
      <c r="C4" s="15">
        <v>200000</v>
      </c>
      <c r="D4">
        <v>7</v>
      </c>
      <c r="E4">
        <v>0</v>
      </c>
      <c r="F4">
        <v>20</v>
      </c>
      <c r="G4" t="s">
        <v>120</v>
      </c>
      <c r="H4" t="s">
        <v>118</v>
      </c>
      <c r="I4">
        <v>59.5</v>
      </c>
    </row>
    <row r="5" spans="1:9" x14ac:dyDescent="0.35">
      <c r="A5">
        <v>3</v>
      </c>
      <c r="B5" t="s">
        <v>121</v>
      </c>
      <c r="C5" s="15">
        <v>50000</v>
      </c>
      <c r="D5">
        <v>7</v>
      </c>
      <c r="E5">
        <v>0</v>
      </c>
      <c r="F5">
        <v>18</v>
      </c>
      <c r="G5" t="s">
        <v>122</v>
      </c>
      <c r="H5" t="s">
        <v>118</v>
      </c>
      <c r="I5">
        <v>59.5</v>
      </c>
    </row>
    <row r="6" spans="1:9" x14ac:dyDescent="0.35">
      <c r="A6">
        <v>5</v>
      </c>
      <c r="B6" t="s">
        <v>123</v>
      </c>
      <c r="C6" s="15">
        <v>20000</v>
      </c>
      <c r="D6">
        <v>1</v>
      </c>
      <c r="E6">
        <v>0</v>
      </c>
      <c r="F6">
        <v>12</v>
      </c>
      <c r="G6" t="s">
        <v>117</v>
      </c>
      <c r="H6" t="s">
        <v>123</v>
      </c>
      <c r="I6">
        <v>0</v>
      </c>
    </row>
    <row r="7" spans="1:9" x14ac:dyDescent="0.35">
      <c r="A7">
        <v>6</v>
      </c>
      <c r="B7" t="s">
        <v>194</v>
      </c>
      <c r="C7" s="15">
        <v>175000</v>
      </c>
      <c r="D7">
        <v>1</v>
      </c>
      <c r="E7">
        <v>0</v>
      </c>
      <c r="F7">
        <v>0</v>
      </c>
      <c r="G7" t="s">
        <v>122</v>
      </c>
      <c r="H7" t="s">
        <v>195</v>
      </c>
      <c r="I7">
        <v>0</v>
      </c>
    </row>
  </sheetData>
  <autoFilter ref="A2:I2" xr:uid="{00000000-0009-0000-0000-000004000000}"/>
  <mergeCells count="1">
    <mergeCell ref="A1:I1"/>
  </mergeCells>
  <dataValidations count="2">
    <dataValidation type="list" allowBlank="1" showInputMessage="1" showErrorMessage="1" sqref="G3:G200" xr:uid="{00000000-0002-0000-0400-000000000000}">
      <formula1>"Pre-Tax,Taxable,Tax-Free"</formula1>
    </dataValidation>
    <dataValidation type="list" allowBlank="1" showInputMessage="1" showErrorMessage="1" sqref="H3:H200" xr:uid="{00000000-0002-0000-0400-000001000000}">
      <formula1>"Equity,Cash,Real Estate,Bonds"</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
  <sheetViews>
    <sheetView workbookViewId="0">
      <pane ySplit="2" topLeftCell="A3" activePane="bottomLeft" state="frozen"/>
      <selection pane="bottomLeft" activeCell="F4" sqref="F4"/>
    </sheetView>
  </sheetViews>
  <sheetFormatPr defaultRowHeight="14.5" x14ac:dyDescent="0.35"/>
  <cols>
    <col min="1" max="1" width="7.1796875" bestFit="1" customWidth="1"/>
    <col min="2" max="2" width="14.26953125" bestFit="1" customWidth="1"/>
    <col min="3" max="3" width="21.6328125" style="15" bestFit="1" customWidth="1"/>
    <col min="4" max="4" width="19.453125" bestFit="1" customWidth="1"/>
    <col min="5" max="5" width="13.6328125" bestFit="1" customWidth="1"/>
    <col min="6" max="6" width="12.81640625" bestFit="1" customWidth="1"/>
    <col min="7" max="7" width="12" bestFit="1" customWidth="1"/>
    <col min="8" max="8" width="11.7265625" bestFit="1" customWidth="1"/>
  </cols>
  <sheetData>
    <row r="1" spans="1:8" ht="24.5" customHeight="1" x14ac:dyDescent="0.35">
      <c r="A1" s="48" t="s">
        <v>124</v>
      </c>
      <c r="B1" s="25"/>
      <c r="C1" s="49"/>
      <c r="D1" s="25"/>
      <c r="E1" s="25"/>
      <c r="F1" s="25"/>
      <c r="G1" s="25"/>
      <c r="H1" s="25"/>
    </row>
    <row r="2" spans="1:8" x14ac:dyDescent="0.35">
      <c r="A2" s="11" t="s">
        <v>107</v>
      </c>
      <c r="B2" s="11" t="s">
        <v>108</v>
      </c>
      <c r="C2" s="16" t="s">
        <v>125</v>
      </c>
      <c r="D2" s="11" t="s">
        <v>110</v>
      </c>
      <c r="E2" s="11" t="s">
        <v>126</v>
      </c>
      <c r="F2" s="11" t="s">
        <v>127</v>
      </c>
      <c r="G2" s="11" t="s">
        <v>117</v>
      </c>
      <c r="H2" s="11" t="s">
        <v>128</v>
      </c>
    </row>
    <row r="3" spans="1:8" x14ac:dyDescent="0.35">
      <c r="A3">
        <v>1</v>
      </c>
      <c r="B3" t="s">
        <v>129</v>
      </c>
      <c r="C3" s="15">
        <v>165000</v>
      </c>
      <c r="D3">
        <v>3.5</v>
      </c>
      <c r="E3">
        <v>2024</v>
      </c>
      <c r="F3">
        <v>2039</v>
      </c>
      <c r="G3" t="s">
        <v>130</v>
      </c>
      <c r="H3" t="b">
        <v>0</v>
      </c>
    </row>
    <row r="4" spans="1:8" x14ac:dyDescent="0.35">
      <c r="A4">
        <v>2</v>
      </c>
      <c r="B4" t="s">
        <v>203</v>
      </c>
      <c r="C4" s="15">
        <v>125000</v>
      </c>
      <c r="D4">
        <v>3.5</v>
      </c>
      <c r="E4">
        <v>2024</v>
      </c>
      <c r="F4">
        <v>2039</v>
      </c>
      <c r="G4" t="s">
        <v>130</v>
      </c>
      <c r="H4" t="b">
        <v>0</v>
      </c>
    </row>
  </sheetData>
  <autoFilter ref="A2:H2" xr:uid="{00000000-0009-0000-0000-000005000000}"/>
  <mergeCells count="1">
    <mergeCell ref="A1:H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7"/>
  <sheetViews>
    <sheetView workbookViewId="0">
      <pane ySplit="2" topLeftCell="A3" activePane="bottomLeft" state="frozen"/>
      <selection pane="bottomLeft" activeCell="I3" sqref="I3"/>
    </sheetView>
  </sheetViews>
  <sheetFormatPr defaultRowHeight="14.5" x14ac:dyDescent="0.35"/>
  <cols>
    <col min="1" max="1" width="13.453125" bestFit="1" customWidth="1"/>
    <col min="2" max="2" width="23.26953125" bestFit="1" customWidth="1"/>
    <col min="3" max="4" width="21" bestFit="1" customWidth="1"/>
    <col min="5" max="5" width="13.6328125" bestFit="1" customWidth="1"/>
    <col min="6" max="6" width="12.81640625" bestFit="1" customWidth="1"/>
    <col min="7" max="7" width="16.08984375" bestFit="1" customWidth="1"/>
  </cols>
  <sheetData>
    <row r="1" spans="1:7" ht="24" customHeight="1" x14ac:dyDescent="0.35">
      <c r="A1" s="48" t="s">
        <v>131</v>
      </c>
      <c r="B1" s="25"/>
      <c r="C1" s="25"/>
      <c r="D1" s="25"/>
      <c r="E1" s="25"/>
      <c r="F1" s="25"/>
    </row>
    <row r="2" spans="1:7" x14ac:dyDescent="0.35">
      <c r="A2" s="11" t="s">
        <v>132</v>
      </c>
      <c r="B2" s="11" t="s">
        <v>133</v>
      </c>
      <c r="C2" s="11" t="s">
        <v>134</v>
      </c>
      <c r="D2" s="11" t="s">
        <v>135</v>
      </c>
      <c r="E2" s="11" t="s">
        <v>126</v>
      </c>
      <c r="F2" s="11" t="s">
        <v>127</v>
      </c>
      <c r="G2" s="56" t="str">
        <f ca="1">"Death Year = "&amp;(YEAR(TODAY())+(Settings!$B$3-Settings!$B$2))</f>
        <v>Death Year = 2093</v>
      </c>
    </row>
    <row r="3" spans="1:7" x14ac:dyDescent="0.35">
      <c r="A3" t="s">
        <v>136</v>
      </c>
      <c r="B3" t="s">
        <v>137</v>
      </c>
      <c r="C3">
        <v>450</v>
      </c>
      <c r="D3" s="53" t="s">
        <v>130</v>
      </c>
      <c r="E3">
        <v>2024</v>
      </c>
      <c r="F3">
        <v>2093</v>
      </c>
    </row>
    <row r="4" spans="1:7" x14ac:dyDescent="0.35">
      <c r="A4" t="s">
        <v>136</v>
      </c>
      <c r="B4" t="s">
        <v>138</v>
      </c>
      <c r="C4">
        <v>100</v>
      </c>
      <c r="D4" s="53" t="s">
        <v>130</v>
      </c>
      <c r="E4">
        <v>2024</v>
      </c>
      <c r="F4">
        <v>2093</v>
      </c>
    </row>
    <row r="5" spans="1:7" x14ac:dyDescent="0.35">
      <c r="A5" t="s">
        <v>136</v>
      </c>
      <c r="B5" t="s">
        <v>139</v>
      </c>
      <c r="C5">
        <v>200</v>
      </c>
      <c r="D5" s="53" t="s">
        <v>130</v>
      </c>
      <c r="E5">
        <v>2024</v>
      </c>
      <c r="F5">
        <v>2093</v>
      </c>
    </row>
    <row r="6" spans="1:7" x14ac:dyDescent="0.35">
      <c r="A6" t="s">
        <v>140</v>
      </c>
      <c r="B6" t="s">
        <v>141</v>
      </c>
      <c r="C6">
        <v>150</v>
      </c>
      <c r="D6" s="53" t="s">
        <v>130</v>
      </c>
      <c r="E6">
        <v>2024</v>
      </c>
      <c r="F6">
        <v>2093</v>
      </c>
    </row>
    <row r="7" spans="1:7" x14ac:dyDescent="0.35">
      <c r="A7" t="s">
        <v>140</v>
      </c>
      <c r="B7" t="s">
        <v>142</v>
      </c>
      <c r="C7">
        <v>80</v>
      </c>
      <c r="D7" s="53" t="s">
        <v>130</v>
      </c>
      <c r="E7">
        <v>2024</v>
      </c>
      <c r="F7">
        <v>2093</v>
      </c>
    </row>
    <row r="8" spans="1:7" x14ac:dyDescent="0.35">
      <c r="A8" t="s">
        <v>140</v>
      </c>
      <c r="B8" t="s">
        <v>143</v>
      </c>
      <c r="C8">
        <v>90</v>
      </c>
      <c r="D8" s="53" t="s">
        <v>130</v>
      </c>
      <c r="E8">
        <v>2024</v>
      </c>
      <c r="F8">
        <v>2093</v>
      </c>
    </row>
    <row r="9" spans="1:7" x14ac:dyDescent="0.35">
      <c r="A9" t="s">
        <v>140</v>
      </c>
      <c r="B9" t="s">
        <v>144</v>
      </c>
      <c r="C9">
        <v>70</v>
      </c>
      <c r="D9" s="53" t="s">
        <v>130</v>
      </c>
      <c r="E9">
        <v>2024</v>
      </c>
      <c r="F9">
        <v>2093</v>
      </c>
    </row>
    <row r="10" spans="1:7" x14ac:dyDescent="0.35">
      <c r="A10" t="s">
        <v>145</v>
      </c>
      <c r="B10" t="s">
        <v>146</v>
      </c>
      <c r="C10">
        <v>600</v>
      </c>
      <c r="D10" s="53" t="s">
        <v>130</v>
      </c>
      <c r="E10">
        <v>2024</v>
      </c>
      <c r="F10">
        <v>2093</v>
      </c>
    </row>
    <row r="11" spans="1:7" x14ac:dyDescent="0.35">
      <c r="A11" t="s">
        <v>147</v>
      </c>
      <c r="B11" t="s">
        <v>202</v>
      </c>
      <c r="C11">
        <v>450</v>
      </c>
      <c r="D11" s="53" t="b">
        <v>1</v>
      </c>
      <c r="E11">
        <v>2053</v>
      </c>
      <c r="F11">
        <v>2093</v>
      </c>
    </row>
    <row r="12" spans="1:7" x14ac:dyDescent="0.35">
      <c r="A12" t="s">
        <v>147</v>
      </c>
      <c r="B12" t="s">
        <v>147</v>
      </c>
      <c r="C12">
        <v>250</v>
      </c>
      <c r="D12" s="53" t="s">
        <v>130</v>
      </c>
      <c r="E12">
        <v>2024</v>
      </c>
      <c r="F12">
        <v>2052</v>
      </c>
    </row>
    <row r="13" spans="1:7" x14ac:dyDescent="0.35">
      <c r="A13" t="s">
        <v>148</v>
      </c>
      <c r="B13" t="s">
        <v>149</v>
      </c>
      <c r="C13">
        <v>150</v>
      </c>
      <c r="D13" s="53" t="s">
        <v>130</v>
      </c>
      <c r="E13">
        <v>2024</v>
      </c>
      <c r="F13">
        <v>2093</v>
      </c>
    </row>
    <row r="14" spans="1:7" x14ac:dyDescent="0.35">
      <c r="A14" t="s">
        <v>148</v>
      </c>
      <c r="B14" t="s">
        <v>150</v>
      </c>
      <c r="C14">
        <v>110</v>
      </c>
      <c r="D14" s="53" t="s">
        <v>130</v>
      </c>
      <c r="E14">
        <v>2024</v>
      </c>
      <c r="F14">
        <v>2093</v>
      </c>
    </row>
    <row r="15" spans="1:7" x14ac:dyDescent="0.35">
      <c r="A15" t="s">
        <v>148</v>
      </c>
      <c r="B15" t="s">
        <v>151</v>
      </c>
      <c r="C15">
        <v>60</v>
      </c>
      <c r="D15" s="53" t="s">
        <v>130</v>
      </c>
      <c r="E15">
        <v>2024</v>
      </c>
      <c r="F15">
        <v>2084</v>
      </c>
    </row>
    <row r="16" spans="1:7" x14ac:dyDescent="0.35">
      <c r="A16" t="s">
        <v>152</v>
      </c>
      <c r="B16" t="s">
        <v>204</v>
      </c>
      <c r="C16">
        <v>875</v>
      </c>
      <c r="D16" s="53" t="s">
        <v>130</v>
      </c>
      <c r="E16">
        <v>2053</v>
      </c>
      <c r="F16">
        <v>2093</v>
      </c>
    </row>
    <row r="17" spans="1:6" x14ac:dyDescent="0.35">
      <c r="A17" t="s">
        <v>152</v>
      </c>
      <c r="B17" t="s">
        <v>153</v>
      </c>
      <c r="C17">
        <v>350</v>
      </c>
      <c r="D17" s="53" t="s">
        <v>130</v>
      </c>
      <c r="E17">
        <v>2024</v>
      </c>
      <c r="F17">
        <v>2053</v>
      </c>
    </row>
    <row r="18" spans="1:6" x14ac:dyDescent="0.35">
      <c r="A18" t="s">
        <v>152</v>
      </c>
      <c r="B18" t="s">
        <v>154</v>
      </c>
      <c r="C18">
        <v>50</v>
      </c>
      <c r="D18" s="53" t="s">
        <v>130</v>
      </c>
      <c r="E18">
        <v>2024</v>
      </c>
      <c r="F18">
        <v>2084</v>
      </c>
    </row>
    <row r="19" spans="1:6" x14ac:dyDescent="0.35">
      <c r="A19" t="s">
        <v>200</v>
      </c>
      <c r="B19" t="s">
        <v>201</v>
      </c>
      <c r="C19">
        <v>350</v>
      </c>
      <c r="D19" s="53" t="b">
        <v>0</v>
      </c>
      <c r="E19">
        <v>2028</v>
      </c>
      <c r="F19">
        <v>2046</v>
      </c>
    </row>
    <row r="20" spans="1:6" x14ac:dyDescent="0.35">
      <c r="A20" t="s">
        <v>198</v>
      </c>
      <c r="B20" t="s">
        <v>199</v>
      </c>
      <c r="C20">
        <v>1850</v>
      </c>
      <c r="D20" s="53" t="b">
        <v>0</v>
      </c>
      <c r="E20">
        <v>2028</v>
      </c>
      <c r="F20">
        <v>2033</v>
      </c>
    </row>
    <row r="21" spans="1:6" x14ac:dyDescent="0.35">
      <c r="A21" t="s">
        <v>155</v>
      </c>
      <c r="B21" t="s">
        <v>156</v>
      </c>
      <c r="C21">
        <v>400</v>
      </c>
      <c r="D21" s="53" t="s">
        <v>130</v>
      </c>
      <c r="E21">
        <v>2024</v>
      </c>
      <c r="F21">
        <v>2084</v>
      </c>
    </row>
    <row r="22" spans="1:6" x14ac:dyDescent="0.35">
      <c r="A22" t="s">
        <v>155</v>
      </c>
      <c r="B22" t="s">
        <v>157</v>
      </c>
      <c r="C22">
        <v>150</v>
      </c>
      <c r="D22" s="53" t="s">
        <v>130</v>
      </c>
      <c r="E22">
        <v>2024</v>
      </c>
      <c r="F22">
        <v>2093</v>
      </c>
    </row>
    <row r="23" spans="1:6" x14ac:dyDescent="0.35">
      <c r="A23" t="s">
        <v>155</v>
      </c>
      <c r="B23" t="s">
        <v>197</v>
      </c>
      <c r="C23">
        <v>15</v>
      </c>
      <c r="D23" s="53" t="s">
        <v>130</v>
      </c>
      <c r="E23">
        <v>2024</v>
      </c>
      <c r="F23">
        <v>2030</v>
      </c>
    </row>
    <row r="24" spans="1:6" x14ac:dyDescent="0.35">
      <c r="A24" t="s">
        <v>155</v>
      </c>
      <c r="B24" t="s">
        <v>196</v>
      </c>
      <c r="C24">
        <v>14</v>
      </c>
      <c r="D24" s="53" t="s">
        <v>130</v>
      </c>
      <c r="E24">
        <v>2024</v>
      </c>
      <c r="F24">
        <v>2030</v>
      </c>
    </row>
    <row r="25" spans="1:6" x14ac:dyDescent="0.35">
      <c r="A25" t="s">
        <v>155</v>
      </c>
      <c r="B25" t="s">
        <v>158</v>
      </c>
      <c r="C25">
        <v>60</v>
      </c>
      <c r="D25" s="53" t="s">
        <v>130</v>
      </c>
      <c r="E25">
        <v>2024</v>
      </c>
      <c r="F25">
        <v>2093</v>
      </c>
    </row>
    <row r="26" spans="1:6" x14ac:dyDescent="0.35">
      <c r="A26" t="s">
        <v>155</v>
      </c>
      <c r="B26" t="s">
        <v>159</v>
      </c>
      <c r="C26">
        <v>150</v>
      </c>
      <c r="D26" s="53" t="s">
        <v>130</v>
      </c>
      <c r="E26">
        <v>2024</v>
      </c>
      <c r="F26">
        <v>2088</v>
      </c>
    </row>
    <row r="27" spans="1:6" x14ac:dyDescent="0.35">
      <c r="A27" t="s">
        <v>136</v>
      </c>
      <c r="B27" t="s">
        <v>160</v>
      </c>
      <c r="C27">
        <v>4250</v>
      </c>
      <c r="D27" s="53" t="b">
        <v>0</v>
      </c>
      <c r="E27">
        <v>2024</v>
      </c>
      <c r="F27">
        <v>2050</v>
      </c>
    </row>
  </sheetData>
  <autoFilter ref="A2:F2" xr:uid="{00000000-0009-0000-0000-000006000000}"/>
  <mergeCells count="1">
    <mergeCell ref="A1:F1"/>
  </mergeCells>
  <dataValidations count="3">
    <dataValidation type="list" allowBlank="1" showInputMessage="1" showErrorMessage="1" sqref="A3:A9 A11:A206" xr:uid="{00000000-0002-0000-0600-000000000000}">
      <formula1>"Housing,Utilities,Groceries,Transport,Healthcare,Insurance,Entertainment,Dining Out,Clothing,Personal Care,Subscriptions,Education,Travel,Childcare,Miscellaneous"</formula1>
    </dataValidation>
    <dataValidation type="list" allowBlank="1" showInputMessage="1" showErrorMessage="1" sqref="D3:D206" xr:uid="{00000000-0002-0000-0600-000001000000}">
      <formula1>"TRUE,FALSE"</formula1>
    </dataValidation>
    <dataValidation type="list" allowBlank="1" showInputMessage="1" showErrorMessage="1" sqref="A10" xr:uid="{B4C69C61-C68E-41B1-A7D5-0E28D359EDED}">
      <formula1>"Housing,Utilities,Groceries,Transport,Healthcare,Food,Insurance,Entertainment,Dining Out,Clothing,Personal Care,Subscriptions,Education,Travel,Childcare,Miscellaneous"</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workbookViewId="0">
      <pane ySplit="3" topLeftCell="A4" activePane="bottomLeft" state="frozen"/>
      <selection pane="bottomLeft" activeCell="C15" sqref="C15"/>
    </sheetView>
  </sheetViews>
  <sheetFormatPr defaultRowHeight="14.5" x14ac:dyDescent="0.35"/>
  <cols>
    <col min="1" max="6" width="25.54296875" customWidth="1"/>
  </cols>
  <sheetData>
    <row r="1" spans="1:6" ht="24.5" customHeight="1" x14ac:dyDescent="0.35">
      <c r="A1" s="48" t="s">
        <v>161</v>
      </c>
      <c r="B1" s="25"/>
      <c r="C1" s="25"/>
      <c r="D1" s="25"/>
      <c r="E1" s="25"/>
      <c r="F1" s="25"/>
    </row>
    <row r="2" spans="1:6" x14ac:dyDescent="0.35">
      <c r="A2" s="5" t="s">
        <v>162</v>
      </c>
      <c r="B2" s="3" t="s">
        <v>163</v>
      </c>
      <c r="C2" s="50" t="s">
        <v>164</v>
      </c>
      <c r="D2" s="51"/>
      <c r="E2" s="51"/>
      <c r="F2" s="51"/>
    </row>
    <row r="3" spans="1:6" x14ac:dyDescent="0.35">
      <c r="A3" s="11" t="s">
        <v>165</v>
      </c>
      <c r="B3" s="11" t="s">
        <v>125</v>
      </c>
      <c r="C3" s="11" t="s">
        <v>110</v>
      </c>
      <c r="D3" s="11" t="s">
        <v>135</v>
      </c>
      <c r="E3" s="11" t="s">
        <v>126</v>
      </c>
      <c r="F3" s="11" t="s">
        <v>127</v>
      </c>
    </row>
    <row r="4" spans="1:6" x14ac:dyDescent="0.35">
      <c r="A4" s="6" t="s">
        <v>166</v>
      </c>
      <c r="B4" s="6">
        <v>95000</v>
      </c>
      <c r="C4" s="6">
        <v>0</v>
      </c>
      <c r="D4" s="6" t="s">
        <v>130</v>
      </c>
      <c r="E4" s="6">
        <v>2024</v>
      </c>
      <c r="F4" s="6">
        <v>2084</v>
      </c>
    </row>
  </sheetData>
  <autoFilter ref="A3:F3" xr:uid="{00000000-0009-0000-0000-000007000000}"/>
  <mergeCells count="2">
    <mergeCell ref="C2:F2"/>
    <mergeCell ref="A1:F1"/>
  </mergeCells>
  <dataValidations count="2">
    <dataValidation type="list" allowBlank="1" showInputMessage="1" showErrorMessage="1" sqref="B2" xr:uid="{00000000-0002-0000-0700-000000000000}">
      <formula1>"Yes,No"</formula1>
    </dataValidation>
    <dataValidation type="list" allowBlank="1" showInputMessage="1" showErrorMessage="1" sqref="D4:D201" xr:uid="{00000000-0002-0000-0700-000001000000}">
      <formula1>"TRUE,FALSE"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
  <sheetViews>
    <sheetView workbookViewId="0">
      <pane ySplit="2" topLeftCell="A3" activePane="bottomLeft" state="frozen"/>
      <selection pane="bottomLeft" activeCell="C4" sqref="C4"/>
    </sheetView>
  </sheetViews>
  <sheetFormatPr defaultRowHeight="14.5" x14ac:dyDescent="0.35"/>
  <cols>
    <col min="1" max="1" width="7.1796875" bestFit="1" customWidth="1"/>
    <col min="2" max="2" width="12" bestFit="1" customWidth="1"/>
    <col min="3" max="3" width="9.54296875" bestFit="1" customWidth="1"/>
    <col min="4" max="4" width="21.81640625" bestFit="1" customWidth="1"/>
    <col min="5" max="5" width="19.7265625" bestFit="1" customWidth="1"/>
    <col min="6" max="6" width="23.54296875" bestFit="1" customWidth="1"/>
    <col min="7" max="7" width="16.1796875" bestFit="1" customWidth="1"/>
    <col min="8" max="8" width="13.6328125" bestFit="1" customWidth="1"/>
    <col min="9" max="9" width="12.81640625" bestFit="1" customWidth="1"/>
  </cols>
  <sheetData>
    <row r="1" spans="1:9" ht="24.5" customHeight="1" x14ac:dyDescent="0.35">
      <c r="A1" s="48" t="s">
        <v>167</v>
      </c>
      <c r="B1" s="25"/>
      <c r="C1" s="25"/>
      <c r="D1" s="25"/>
      <c r="E1" s="25"/>
      <c r="F1" s="25"/>
      <c r="G1" s="25"/>
      <c r="H1" s="25"/>
      <c r="I1" s="25"/>
    </row>
    <row r="2" spans="1:9" x14ac:dyDescent="0.35">
      <c r="A2" s="11" t="s">
        <v>107</v>
      </c>
      <c r="B2" s="11" t="s">
        <v>108</v>
      </c>
      <c r="C2" s="11" t="s">
        <v>168</v>
      </c>
      <c r="D2" s="11" t="s">
        <v>169</v>
      </c>
      <c r="E2" s="11" t="s">
        <v>170</v>
      </c>
      <c r="F2" s="11" t="s">
        <v>171</v>
      </c>
      <c r="G2" s="11" t="s">
        <v>172</v>
      </c>
      <c r="H2" s="11" t="s">
        <v>126</v>
      </c>
      <c r="I2" s="11" t="s">
        <v>127</v>
      </c>
    </row>
    <row r="3" spans="1:9" x14ac:dyDescent="0.35">
      <c r="A3">
        <v>1</v>
      </c>
      <c r="B3" t="s">
        <v>173</v>
      </c>
      <c r="C3" t="s">
        <v>174</v>
      </c>
      <c r="D3" s="15">
        <v>450000</v>
      </c>
      <c r="E3">
        <v>4.5</v>
      </c>
      <c r="F3" s="15">
        <v>2800</v>
      </c>
      <c r="G3">
        <v>30</v>
      </c>
      <c r="H3">
        <v>2020</v>
      </c>
      <c r="I3">
        <v>2050</v>
      </c>
    </row>
  </sheetData>
  <autoFilter ref="A2:I2" xr:uid="{00000000-0009-0000-0000-000008000000}"/>
  <mergeCells count="1">
    <mergeCell ref="A1:I1"/>
  </mergeCells>
  <dataValidations count="1">
    <dataValidation type="list" allowBlank="1" showInputMessage="1" showErrorMessage="1" sqref="C3:C201" xr:uid="{00000000-0002-0000-0800-000000000000}">
      <formula1>"Mortgage,Auto,Personal,Business,Student Loan"</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Settings</vt:lpstr>
      <vt:lpstr>Dashboard</vt:lpstr>
      <vt:lpstr>Projection</vt:lpstr>
      <vt:lpstr>Assets</vt:lpstr>
      <vt:lpstr>Income</vt:lpstr>
      <vt:lpstr>Detailed Budget</vt:lpstr>
      <vt:lpstr>Simple Budget</vt:lpstr>
      <vt:lpstr>Liabilities</vt:lpstr>
      <vt:lpstr>Scenario Compare</vt:lpstr>
      <vt:lpstr>_helpers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Nic L</cp:lastModifiedBy>
  <dcterms:created xsi:type="dcterms:W3CDTF">2026-03-31T07:20:39Z</dcterms:created>
  <dcterms:modified xsi:type="dcterms:W3CDTF">2026-04-10T09:12:08Z</dcterms:modified>
</cp:coreProperties>
</file>